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cestRegistruDeLucru" defaultThemeVersion="124226"/>
  <mc:AlternateContent xmlns:mc="http://schemas.openxmlformats.org/markup-compatibility/2006">
    <mc:Choice Requires="x15">
      <x15ac:absPath xmlns:x15ac="http://schemas.microsoft.com/office/spreadsheetml/2010/11/ac" url="D:\2.3. GHID M6.1.2A var. 5 ses. III 2018 final\ANEXE MASURA6.1.2A VAR.5 SES III 2018\"/>
    </mc:Choice>
  </mc:AlternateContent>
  <bookViews>
    <workbookView xWindow="0" yWindow="0" windowWidth="23040" windowHeight="8724"/>
  </bookViews>
  <sheets>
    <sheet name="ProductieGunoi" sheetId="1" r:id="rId1"/>
    <sheet name="PMN" sheetId="2" r:id="rId2"/>
    <sheet name="Sheet3" sheetId="3" r:id="rId3"/>
  </sheets>
  <definedNames>
    <definedName name="page24" localSheetId="0">ProductieGunoi!$A$37</definedName>
    <definedName name="page25" localSheetId="0">ProductieGunoi!$A$54</definedName>
  </definedNames>
  <calcPr calcId="152511"/>
</workbook>
</file>

<file path=xl/calcChain.xml><?xml version="1.0" encoding="utf-8"?>
<calcChain xmlns="http://schemas.openxmlformats.org/spreadsheetml/2006/main">
  <c r="L39" i="1" l="1"/>
  <c r="J39" i="1"/>
  <c r="L66" i="1"/>
  <c r="J66" i="1"/>
  <c r="E5" i="2"/>
  <c r="C5" i="2"/>
  <c r="D5" i="2"/>
  <c r="F5" i="2"/>
  <c r="J58" i="2"/>
  <c r="I58" i="2"/>
  <c r="H58" i="2"/>
  <c r="G58" i="2"/>
  <c r="F58" i="2"/>
  <c r="E58" i="2"/>
  <c r="D58" i="2"/>
  <c r="C58" i="2"/>
  <c r="B58" i="2"/>
  <c r="J51" i="2"/>
  <c r="I51" i="2"/>
  <c r="H51" i="2"/>
  <c r="G51" i="2"/>
  <c r="F51" i="2"/>
  <c r="E51" i="2"/>
  <c r="D51" i="2"/>
  <c r="C51" i="2"/>
  <c r="B51" i="2"/>
  <c r="C60" i="2"/>
  <c r="D4" i="2"/>
  <c r="D6" i="2"/>
  <c r="D7" i="2"/>
  <c r="D8" i="2"/>
  <c r="D9" i="2"/>
  <c r="D10" i="2"/>
  <c r="D11" i="2"/>
  <c r="D42" i="2"/>
  <c r="D12" i="2"/>
  <c r="D13" i="2"/>
  <c r="D14" i="2"/>
  <c r="D16" i="2"/>
  <c r="D17" i="2"/>
  <c r="D18" i="2"/>
  <c r="D19" i="2"/>
  <c r="D20" i="2"/>
  <c r="D21" i="2"/>
  <c r="D22" i="2"/>
  <c r="D24" i="2"/>
  <c r="D25" i="2"/>
  <c r="E4" i="2"/>
  <c r="E6" i="2"/>
  <c r="E42" i="2"/>
  <c r="E7" i="2"/>
  <c r="E8" i="2"/>
  <c r="E9" i="2"/>
  <c r="E10" i="2"/>
  <c r="E11" i="2"/>
  <c r="E12" i="2"/>
  <c r="E13" i="2"/>
  <c r="E14" i="2"/>
  <c r="E16" i="2"/>
  <c r="E17" i="2"/>
  <c r="E18" i="2"/>
  <c r="E19" i="2"/>
  <c r="E20" i="2"/>
  <c r="E21" i="2"/>
  <c r="E22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F4" i="2"/>
  <c r="F6" i="2"/>
  <c r="F42" i="2"/>
  <c r="F7" i="2"/>
  <c r="F8" i="2"/>
  <c r="F9" i="2"/>
  <c r="F10" i="2"/>
  <c r="F11" i="2"/>
  <c r="F12" i="2"/>
  <c r="F13" i="2"/>
  <c r="F14" i="2"/>
  <c r="F16" i="2"/>
  <c r="F17" i="2"/>
  <c r="F18" i="2"/>
  <c r="F19" i="2"/>
  <c r="F20" i="2"/>
  <c r="F21" i="2"/>
  <c r="F22" i="2"/>
  <c r="F24" i="2"/>
  <c r="F25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2" i="2"/>
  <c r="C21" i="2"/>
  <c r="C20" i="2"/>
  <c r="C19" i="2"/>
  <c r="C18" i="2"/>
  <c r="C17" i="2"/>
  <c r="C14" i="2"/>
  <c r="C13" i="2"/>
  <c r="C16" i="2"/>
  <c r="C4" i="2"/>
  <c r="C42" i="2"/>
  <c r="C61" i="2"/>
  <c r="C6" i="2"/>
  <c r="C7" i="2"/>
  <c r="C8" i="2"/>
  <c r="C9" i="2"/>
  <c r="C10" i="2"/>
  <c r="C11" i="2"/>
  <c r="C12" i="2"/>
  <c r="L3" i="1"/>
  <c r="J3" i="1"/>
  <c r="J68" i="1"/>
  <c r="L63" i="1"/>
  <c r="J63" i="1"/>
  <c r="L62" i="1"/>
  <c r="J62" i="1"/>
  <c r="L61" i="1"/>
  <c r="J61" i="1"/>
  <c r="L60" i="1"/>
  <c r="J60" i="1"/>
  <c r="L57" i="1"/>
  <c r="J57" i="1"/>
  <c r="L56" i="1"/>
  <c r="J56" i="1"/>
  <c r="L52" i="1"/>
  <c r="J52" i="1"/>
  <c r="L51" i="1"/>
  <c r="J51" i="1"/>
  <c r="L50" i="1"/>
  <c r="J50" i="1"/>
  <c r="L49" i="1"/>
  <c r="J49" i="1"/>
  <c r="L48" i="1"/>
  <c r="J48" i="1"/>
  <c r="L47" i="1"/>
  <c r="J47" i="1"/>
  <c r="L46" i="1"/>
  <c r="J46" i="1"/>
  <c r="L45" i="1"/>
  <c r="J45" i="1"/>
  <c r="L44" i="1"/>
  <c r="J44" i="1"/>
  <c r="L43" i="1"/>
  <c r="J43" i="1"/>
  <c r="L42" i="1"/>
  <c r="J42" i="1"/>
  <c r="L38" i="1"/>
  <c r="J38" i="1"/>
  <c r="L37" i="1"/>
  <c r="J37" i="1"/>
  <c r="L36" i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L9" i="1"/>
  <c r="J9" i="1"/>
  <c r="L8" i="1"/>
  <c r="J8" i="1"/>
  <c r="L7" i="1"/>
  <c r="J7" i="1"/>
  <c r="L6" i="1"/>
  <c r="L68" i="1"/>
  <c r="J6" i="1"/>
  <c r="L5" i="1"/>
  <c r="J5" i="1"/>
  <c r="L4" i="1"/>
  <c r="L69" i="1"/>
  <c r="L72" i="1"/>
  <c r="J4" i="1"/>
  <c r="J69" i="1"/>
  <c r="J72" i="1"/>
  <c r="F60" i="2"/>
  <c r="C63" i="2"/>
  <c r="L71" i="1"/>
  <c r="L73" i="1"/>
  <c r="J71" i="1"/>
  <c r="J73" i="1"/>
  <c r="C62" i="2"/>
</calcChain>
</file>

<file path=xl/sharedStrings.xml><?xml version="1.0" encoding="utf-8"?>
<sst xmlns="http://schemas.openxmlformats.org/spreadsheetml/2006/main" count="525" uniqueCount="297">
  <si>
    <t>Sistemul de întreţinere</t>
  </si>
  <si>
    <r>
      <t xml:space="preserve">Aşter-nut </t>
    </r>
    <r>
      <rPr>
        <sz val="10"/>
        <color indexed="8"/>
        <rFont val="Times New Roman"/>
        <family val="1"/>
      </rPr>
      <t>[kg/animal/zi]</t>
    </r>
  </si>
  <si>
    <t>Tipul de gunoi de grajd rezultat</t>
  </si>
  <si>
    <t>Stabulaţie liberă</t>
  </si>
  <si>
    <t>Viţei</t>
  </si>
  <si>
    <t>Aşternut adânc, boxe colective</t>
  </si>
  <si>
    <t>1 – 2</t>
  </si>
  <si>
    <t>Gunoi de grajd solid</t>
  </si>
  <si>
    <t>6 – 10</t>
  </si>
  <si>
    <t>0,25 - 0,40</t>
  </si>
  <si>
    <t>Pardoseală grătar, întreţinere în grupuri</t>
  </si>
  <si>
    <t>-</t>
  </si>
  <si>
    <t>Dejecţii semilichide</t>
  </si>
  <si>
    <t>7 – 12</t>
  </si>
  <si>
    <t>0,25 - 0,45</t>
  </si>
  <si>
    <t>Juninci</t>
  </si>
  <si>
    <t>Aşternut adânc</t>
  </si>
  <si>
    <t>3 – 5</t>
  </si>
  <si>
    <t>20 - 25</t>
  </si>
  <si>
    <t>0,75 - 0,95</t>
  </si>
  <si>
    <t>Aşternut adânc în zona de odihnă, pardoseală de beton în zona de defecaţie</t>
  </si>
  <si>
    <t>2 – 4</t>
  </si>
  <si>
    <t>20 - 26</t>
  </si>
  <si>
    <t>0,70 - 0,90</t>
  </si>
  <si>
    <t>Cuşete individuale de odihnă cu aşternut, pardoseală de beton în zona de defecaţie</t>
  </si>
  <si>
    <t>2 – 3</t>
  </si>
  <si>
    <t>18 - 26</t>
  </si>
  <si>
    <t>0,65 - 0,95</t>
  </si>
  <si>
    <t>Tăuraşi</t>
  </si>
  <si>
    <t>28 - 38</t>
  </si>
  <si>
    <t>1,10 - 1,4</t>
  </si>
  <si>
    <t>28 - 40</t>
  </si>
  <si>
    <t>1,0 - 1,3</t>
  </si>
  <si>
    <t>Pardoseală grătar</t>
  </si>
  <si>
    <t>30 - 40</t>
  </si>
  <si>
    <t>0,9 - 1,3</t>
  </si>
  <si>
    <t>Aşternut adânc, pardoseală cu auto-curăţare cu panta de 8%</t>
  </si>
  <si>
    <t>1,05 - 1,4</t>
  </si>
  <si>
    <t>4 – 5</t>
  </si>
  <si>
    <t>40 - 50</t>
  </si>
  <si>
    <t>1,4 - 1,8</t>
  </si>
  <si>
    <t>Aşternut adânc în zona de odihnă, pardoseală cu grătar în zona de defecaţie</t>
  </si>
  <si>
    <t>30 - 35</t>
  </si>
  <si>
    <t>1,1 - 1,3</t>
  </si>
  <si>
    <t>0,3 - 0,5</t>
  </si>
  <si>
    <t>Aştrnut adânc în zona de odihnă, pardoseală cu autocurăţare</t>
  </si>
  <si>
    <t>4 – 6</t>
  </si>
  <si>
    <t>45 - 50</t>
  </si>
  <si>
    <t>1,6 - 1,9</t>
  </si>
  <si>
    <t>Cuşete individuale  de odihnă cu aşternut, pardoseală de beton în zona de defecaţie</t>
  </si>
  <si>
    <t>Cuşete individuale de odihnă, pardoseală cu grătar în zona de defecaţie</t>
  </si>
  <si>
    <t>40 - 52</t>
  </si>
  <si>
    <t>1,20 - 1,60</t>
  </si>
  <si>
    <t>Sistem de stabulaţie legată</t>
  </si>
  <si>
    <t>Aşternut adânc (în grup)</t>
  </si>
  <si>
    <t xml:space="preserve">Gunoi de grajd </t>
  </si>
  <si>
    <t>Pardoseală grătar (în grup)</t>
  </si>
  <si>
    <t>Standuri  cu aşternut</t>
  </si>
  <si>
    <t>28 - 35</t>
  </si>
  <si>
    <t>Standuri fără aşternut, canal acoperit cu grătar</t>
  </si>
  <si>
    <t>0,9 - 1,2</t>
  </si>
  <si>
    <t>Standuri cu aşternut</t>
  </si>
  <si>
    <t>1 - 2,5</t>
  </si>
  <si>
    <t>18 - 23</t>
  </si>
  <si>
    <t>0,8 – 1,0</t>
  </si>
  <si>
    <t>Standuri cu aşternut, canal acoperit cu grătar</t>
  </si>
  <si>
    <t>20 – 27</t>
  </si>
  <si>
    <t>0,6 - 0,8</t>
  </si>
  <si>
    <t>2 - 3,5</t>
  </si>
  <si>
    <t>45 - 55</t>
  </si>
  <si>
    <t>1,5 - 1,9</t>
  </si>
  <si>
    <t>Standuri fără aşternut, sistem autocurăţare continuă acoperit cu grătare</t>
  </si>
  <si>
    <t>40 - 45</t>
  </si>
  <si>
    <t>1,2 - 1,5</t>
  </si>
  <si>
    <t>Categoria de animal</t>
  </si>
  <si>
    <t>Aşternut</t>
  </si>
  <si>
    <t>Tipul de gunoi</t>
  </si>
  <si>
    <t>Vieri</t>
  </si>
  <si>
    <t>Pardoseală solidă cu aşternut</t>
  </si>
  <si>
    <t>3 – 4</t>
  </si>
  <si>
    <t>12 – 16</t>
  </si>
  <si>
    <t>0,5 - 0,7</t>
  </si>
  <si>
    <t>Scroafe gestante</t>
  </si>
  <si>
    <t>10 – 14</t>
  </si>
  <si>
    <t>0,45 - 0,6</t>
  </si>
  <si>
    <t>Aşternut adânc în zona de odihnă, pardoseală beton în zona de defecaţie</t>
  </si>
  <si>
    <t>0,8 – 1,2</t>
  </si>
  <si>
    <t>0,45 - 0,65</t>
  </si>
  <si>
    <t>Pardoseală solidă în zona de odihnă, pardoseală grătar în zona de defecaţie</t>
  </si>
  <si>
    <t>0,1 - 0,25</t>
  </si>
  <si>
    <t>0,3 - 0,45</t>
  </si>
  <si>
    <t>Scroafe lactante</t>
  </si>
  <si>
    <t>Pardoseală solidă în zona de odihnă şi     zona de defecaţie</t>
  </si>
  <si>
    <t>14 - 16</t>
  </si>
  <si>
    <t>0,6 - 0,7</t>
  </si>
  <si>
    <t>Pardoseală acoperită parţial ori total cu grătar.</t>
  </si>
  <si>
    <t>0,05 – 0,1</t>
  </si>
  <si>
    <t>15 - 20</t>
  </si>
  <si>
    <t>Purcei înţărcaţi</t>
  </si>
  <si>
    <t>0,5 - 1</t>
  </si>
  <si>
    <t>Gunoi de grajd</t>
  </si>
  <si>
    <t>0,15 - 0,2</t>
  </si>
  <si>
    <t>Zonă de odihnă cu aşternut, pardoseală solidă în zona de defecaţie</t>
  </si>
  <si>
    <t>0,15 – 0,3</t>
  </si>
  <si>
    <t>1,5 – 2,5</t>
  </si>
  <si>
    <t>0,1 – 0,15</t>
  </si>
  <si>
    <t>Pardoseală acoperită  cu grătar</t>
  </si>
  <si>
    <t>0,09 – 0,1</t>
  </si>
  <si>
    <t>Grăsuni</t>
  </si>
  <si>
    <t>1 – 3</t>
  </si>
  <si>
    <t>0,25 – 0,35</t>
  </si>
  <si>
    <t>Zona de odihnă cu aşternut, pardoseală solidă în zona de defecaţie</t>
  </si>
  <si>
    <t>0,3 – 0,5</t>
  </si>
  <si>
    <t>0,2 – 0,4</t>
  </si>
  <si>
    <t>Pardoseală parţial acoperită cu grătare</t>
  </si>
  <si>
    <t>0,15 – 0,25</t>
  </si>
  <si>
    <t>Categoria de păsări</t>
  </si>
  <si>
    <t>Sistem de întreţinere</t>
  </si>
  <si>
    <t xml:space="preserve">Pui de carne </t>
  </si>
  <si>
    <t>La sol</t>
  </si>
  <si>
    <t>0,080</t>
  </si>
  <si>
    <t>Gunoi solid</t>
  </si>
  <si>
    <t>3,0</t>
  </si>
  <si>
    <t>3,8</t>
  </si>
  <si>
    <t xml:space="preserve">Puicuţe   </t>
  </si>
  <si>
    <t>0,120</t>
  </si>
  <si>
    <t>4,7</t>
  </si>
  <si>
    <t>5,0</t>
  </si>
  <si>
    <t>Găini ouătoare</t>
  </si>
  <si>
    <t>În baterii</t>
  </si>
  <si>
    <t>0,220</t>
  </si>
  <si>
    <t>8,2</t>
  </si>
  <si>
    <t xml:space="preserve">Raţe mature </t>
  </si>
  <si>
    <t>0,500</t>
  </si>
  <si>
    <t>Dejecţii colectate (nu conţin aşternut)</t>
  </si>
  <si>
    <t>20,6</t>
  </si>
  <si>
    <t>22,0</t>
  </si>
  <si>
    <t>Baltă</t>
  </si>
  <si>
    <t>18,7</t>
  </si>
  <si>
    <t>20,0</t>
  </si>
  <si>
    <t>Curcani adulţi</t>
  </si>
  <si>
    <t>0,430</t>
  </si>
  <si>
    <t>16,0</t>
  </si>
  <si>
    <t>18,0</t>
  </si>
  <si>
    <t>Curcani pentru sacrificare</t>
  </si>
  <si>
    <t>0,350</t>
  </si>
  <si>
    <t>13,0</t>
  </si>
  <si>
    <t>14,8</t>
  </si>
  <si>
    <t xml:space="preserve">Gâşte adulte  </t>
  </si>
  <si>
    <t>0,960</t>
  </si>
  <si>
    <t>36,00</t>
  </si>
  <si>
    <t>41,0</t>
  </si>
  <si>
    <t>Broileri de gâscă (sfârşitul îngrăşării)</t>
  </si>
  <si>
    <t>0,900</t>
  </si>
  <si>
    <t>33,0</t>
  </si>
  <si>
    <t>36,0</t>
  </si>
  <si>
    <r>
      <t xml:space="preserve">        2 </t>
    </r>
    <r>
      <rPr>
        <i/>
        <sz val="10"/>
        <color indexed="8"/>
        <rFont val="Times New Roman"/>
        <family val="1"/>
      </rPr>
      <t>Aşternutul luat în considerare este de paie</t>
    </r>
  </si>
  <si>
    <t>Sistemul de adăpost</t>
  </si>
  <si>
    <t>Excremente +  aşternut</t>
  </si>
  <si>
    <t>Tipul de gunoi rezultat</t>
  </si>
  <si>
    <t>Mânz peste un an (400 kg)</t>
  </si>
  <si>
    <t>17 + 5 kg aşternut</t>
  </si>
  <si>
    <t>Bălegar</t>
  </si>
  <si>
    <t>1,0</t>
  </si>
  <si>
    <t>Iapă, armăsar, cal castrat (600 kg)</t>
  </si>
  <si>
    <t>25 + 5 kg aşternut</t>
  </si>
  <si>
    <t>1,38</t>
  </si>
  <si>
    <t>Sistem de adăpost</t>
  </si>
  <si>
    <t>Tip de gunoi de grajd rezultat</t>
  </si>
  <si>
    <t>Miel de 3,5  luni sau cârlan</t>
  </si>
  <si>
    <t>0,3</t>
  </si>
  <si>
    <t>1,5</t>
  </si>
  <si>
    <t>0,050</t>
  </si>
  <si>
    <t>Mioară de 12  luni</t>
  </si>
  <si>
    <t>0,4</t>
  </si>
  <si>
    <t>2,5</t>
  </si>
  <si>
    <t>0,083</t>
  </si>
  <si>
    <t>Oaie-mamă, berbec şi batal de 12 luni</t>
  </si>
  <si>
    <t>0,5</t>
  </si>
  <si>
    <t>2,8</t>
  </si>
  <si>
    <t>0,093</t>
  </si>
  <si>
    <t>Berbec şi batal</t>
  </si>
  <si>
    <t>0,133</t>
  </si>
  <si>
    <t>Vaci de lapte</t>
  </si>
  <si>
    <t xml:space="preserve"> dejecţii semilichide</t>
  </si>
  <si>
    <t xml:space="preserve">Gunoi de grajd solid </t>
  </si>
  <si>
    <t>10 - 15</t>
  </si>
  <si>
    <t>12 - 17</t>
  </si>
  <si>
    <t>4 - 5</t>
  </si>
  <si>
    <t>2 - 3</t>
  </si>
  <si>
    <t>1 - 2</t>
  </si>
  <si>
    <t>4 - 7</t>
  </si>
  <si>
    <t>Broileri de raţă (sfârşitul îngrăşării)</t>
  </si>
  <si>
    <t>Producţia de gunoi, inclusiv aşternutul [kg/animal/zi]</t>
  </si>
  <si>
    <t>Numar animale</t>
  </si>
  <si>
    <t>Capacitatea de stocare  [m3/animal/luna]</t>
  </si>
  <si>
    <t>PORCINE</t>
  </si>
  <si>
    <t>PASARI</t>
  </si>
  <si>
    <t>Aşternut  [kg/animal/zi]</t>
  </si>
  <si>
    <t>OVINE</t>
  </si>
  <si>
    <t>CABALINE</t>
  </si>
  <si>
    <r>
      <t>Capacitate de stocare</t>
    </r>
    <r>
      <rPr>
        <b/>
        <vertAlign val="superscript"/>
        <sz val="10"/>
        <color indexed="8"/>
        <rFont val="Times New Roman"/>
        <family val="1"/>
      </rPr>
      <t xml:space="preserve">2                                 </t>
    </r>
    <r>
      <rPr>
        <b/>
        <sz val="10"/>
        <color indexed="8"/>
        <rFont val="Times New Roman"/>
        <family val="1"/>
      </rPr>
      <t xml:space="preserve"> [m3/1.000 păsări/lună]</t>
    </r>
  </si>
  <si>
    <r>
      <t xml:space="preserve">Volum dejecţii, </t>
    </r>
    <r>
      <rPr>
        <sz val="10"/>
        <color indexed="8"/>
        <rFont val="Times New Roman"/>
        <family val="1"/>
      </rPr>
      <t>fără aşternut                      [m</t>
    </r>
    <r>
      <rPr>
        <vertAlign val="superscript"/>
        <sz val="10"/>
        <color indexed="8"/>
        <rFont val="Times New Roman"/>
        <family val="1"/>
      </rPr>
      <t>3</t>
    </r>
    <r>
      <rPr>
        <sz val="10"/>
        <color indexed="8"/>
        <rFont val="Times New Roman"/>
        <family val="1"/>
      </rPr>
      <t>/1.000 păsări/lună]</t>
    </r>
  </si>
  <si>
    <t>Capacitatea de stocare          [m3/luna]</t>
  </si>
  <si>
    <t>Aşternut    [kg/animal/zi]</t>
  </si>
  <si>
    <t>Producţia de gunoi, inclusiv aşternut   [kg/animal/zi]</t>
  </si>
  <si>
    <t>Capacitatea de stocare                   [m3/animal/luna]</t>
  </si>
  <si>
    <r>
      <t xml:space="preserve">Capacitatea de stocare         </t>
    </r>
    <r>
      <rPr>
        <sz val="10"/>
        <color indexed="8"/>
        <rFont val="Times New Roman"/>
        <family val="1"/>
      </rPr>
      <t>[m</t>
    </r>
    <r>
      <rPr>
        <vertAlign val="superscript"/>
        <sz val="10"/>
        <color indexed="8"/>
        <rFont val="Times New Roman"/>
        <family val="1"/>
      </rPr>
      <t>3</t>
    </r>
    <r>
      <rPr>
        <sz val="10"/>
        <color indexed="8"/>
        <rFont val="Times New Roman"/>
        <family val="1"/>
      </rPr>
      <t>/animal/luna]</t>
    </r>
  </si>
  <si>
    <t>Producţia de gunoi, inclusiv aşternut [kg/animal/zi]</t>
  </si>
  <si>
    <t>TOTAL</t>
  </si>
  <si>
    <t xml:space="preserve">dejectii solide : </t>
  </si>
  <si>
    <t xml:space="preserve">dejectii semilichide : </t>
  </si>
  <si>
    <t>PLATFORMA STOCARE</t>
  </si>
  <si>
    <t>Suprafata necesara</t>
  </si>
  <si>
    <r>
      <t>m</t>
    </r>
    <r>
      <rPr>
        <vertAlign val="superscript"/>
        <sz val="10"/>
        <rFont val="Arial"/>
        <family val="2"/>
      </rPr>
      <t>2</t>
    </r>
  </si>
  <si>
    <t>PERIOADA DE STOCARE</t>
  </si>
  <si>
    <t>luni</t>
  </si>
  <si>
    <t>Categoria de animale</t>
  </si>
  <si>
    <t>Cantitatea de azot din gunoiul proaspăt aplicat pe teren fără perioadă de stocare sau stocat în teren în depozite temporare</t>
  </si>
  <si>
    <t>Cantitatea de azot din gunoiul maturat aplicat pe teren</t>
  </si>
  <si>
    <t>Solid</t>
  </si>
  <si>
    <t>Lichid</t>
  </si>
  <si>
    <r>
      <t>Kg</t>
    </r>
    <r>
      <rPr>
        <vertAlign val="subscript"/>
        <sz val="10"/>
        <color indexed="8"/>
        <rFont val="Times New Roman"/>
        <family val="1"/>
      </rPr>
      <t>N</t>
    </r>
    <r>
      <rPr>
        <sz val="10"/>
        <color indexed="8"/>
        <rFont val="Times New Roman"/>
        <family val="1"/>
      </rPr>
      <t xml:space="preserve"> //an</t>
    </r>
  </si>
  <si>
    <r>
      <t>Kg</t>
    </r>
    <r>
      <rPr>
        <vertAlign val="subscript"/>
        <sz val="10"/>
        <color indexed="8"/>
        <rFont val="Times New Roman"/>
        <family val="1"/>
      </rPr>
      <t>N</t>
    </r>
    <r>
      <rPr>
        <sz val="10"/>
        <color indexed="8"/>
        <rFont val="Times New Roman"/>
        <family val="1"/>
      </rPr>
      <t xml:space="preserve"> // an</t>
    </r>
  </si>
  <si>
    <r>
      <t>Kg</t>
    </r>
    <r>
      <rPr>
        <vertAlign val="subscript"/>
        <sz val="10"/>
        <color indexed="8"/>
        <rFont val="Times New Roman"/>
        <family val="1"/>
      </rPr>
      <t>N</t>
    </r>
    <r>
      <rPr>
        <sz val="10"/>
        <color indexed="8"/>
        <rFont val="Times New Roman"/>
        <family val="1"/>
      </rPr>
      <t xml:space="preserve">  / an</t>
    </r>
  </si>
  <si>
    <r>
      <t>Kg</t>
    </r>
    <r>
      <rPr>
        <vertAlign val="subscript"/>
        <sz val="10"/>
        <color indexed="8"/>
        <rFont val="Times New Roman"/>
        <family val="1"/>
      </rPr>
      <t>N</t>
    </r>
    <r>
      <rPr>
        <sz val="10"/>
        <color indexed="8"/>
        <rFont val="Times New Roman"/>
        <family val="1"/>
      </rPr>
      <t xml:space="preserve"> / / an</t>
    </r>
  </si>
  <si>
    <t>Vaci de lapte – sistem intensiv (ferme cu mai mult de 50 vaci)</t>
  </si>
  <si>
    <t>Vaci de lapte – sistem mediu (ferme cu 10-49 vaci)</t>
  </si>
  <si>
    <t>Vaci de lapte – sistem gospodăresc (ferme  cu 1-9 vaci)</t>
  </si>
  <si>
    <t>Bivoliţe pentru lapte</t>
  </si>
  <si>
    <t>Junici</t>
  </si>
  <si>
    <t>Bovine peste 2 ani - masculi</t>
  </si>
  <si>
    <t>Bovine intre 1-2 ani</t>
  </si>
  <si>
    <t>Bovine sub 1 an</t>
  </si>
  <si>
    <t>Scroafe cu purcei – sistem gospodăresc (ferme cu 1-49 porcine)</t>
  </si>
  <si>
    <t>Scroafe cu purcei – sistem mediu (ferme cu 50-999 porcine)</t>
  </si>
  <si>
    <t>Scroafe cu purcei – sistem intensiv (ferme peste 1000 porcine)</t>
  </si>
  <si>
    <t>Pentru ferme specializate în creşterea porcilor doar pe un anumit segment de greutate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</si>
  <si>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sub 20 kg greutate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</si>
  <si>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20-50 Kg – sistem gospodăresc (ferme cu 1-49 porcine)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</si>
  <si>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20-50 kg – sistem  mediu (ferme cu 50-999 porcine)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</si>
  <si>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20-50 kg – sistem intensiv (ferme peste 1000 porcine)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</si>
  <si>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la îngrăşat (peste 50 kg) – sistem gospodaresc (ferme cu 1-49 porcine)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</si>
  <si>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la îngrăşat (peste 50 kg) – sistem mediu (ferme cu 50-999 porcine)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</si>
  <si>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la îngrăşat (peste 50 kg) – sistem intensiv (ferme peste 1000 porcine)</t>
    </r>
  </si>
  <si>
    <t>Pentru ferme care cresc porci pentru intregul ciclu de viaţă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</si>
  <si>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– sistem gospodăresc (ferme cu 1-49 porcine)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</si>
  <si>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– sistem mediu (ferme cu 50-999 porcine)</t>
    </r>
  </si>
  <si>
    <t>Ovine</t>
  </si>
  <si>
    <t>Caprine</t>
  </si>
  <si>
    <t>Cai</t>
  </si>
  <si>
    <t>Pui de carne – sistem intensiv (ferme peste 3000 pasari)</t>
  </si>
  <si>
    <t>Pui de carne – sistem mediu şi gospodăresc (ferme sub 3000 pasari)</t>
  </si>
  <si>
    <t>Gaini ouătoare – sistem intensiv (ferme peste 3000 pasari)</t>
  </si>
  <si>
    <t>Gaini ouătoare – sistem  mediu şi gospodăresc (ferme sub 3000 păsări)</t>
  </si>
  <si>
    <t>Alte găini / pui / cocoşi – sistem intensiv (ferme peste 3000 păsări)</t>
  </si>
  <si>
    <t>Alte găini / pui/ cocoşi – sistem mediu şi gospodăresc (ferme sub 3000 păsări)</t>
  </si>
  <si>
    <t>Curcani</t>
  </si>
  <si>
    <t>Raţe</t>
  </si>
  <si>
    <t>Gâşte</t>
  </si>
  <si>
    <t>Grâu</t>
  </si>
  <si>
    <t>Porumb boabe</t>
  </si>
  <si>
    <t>Alte cereale</t>
  </si>
  <si>
    <t>Floarea soarelui</t>
  </si>
  <si>
    <t>Rapita</t>
  </si>
  <si>
    <t>Cartofi</t>
  </si>
  <si>
    <t>Sfeclă de zahar</t>
  </si>
  <si>
    <t>Legume</t>
  </si>
  <si>
    <t>Păşuni</t>
  </si>
  <si>
    <t xml:space="preserve">Kg N / </t>
  </si>
  <si>
    <t>ha / an</t>
  </si>
  <si>
    <t>Ha / an</t>
  </si>
  <si>
    <t>Kg N/</t>
  </si>
  <si>
    <t xml:space="preserve"> ha / an</t>
  </si>
  <si>
    <t>Kg N /</t>
  </si>
  <si>
    <t>Teren cu panta sub 12%</t>
  </si>
  <si>
    <t>Suprafata teren (ha) ---&gt;</t>
  </si>
  <si>
    <t>Teren cu panta peste 12%</t>
  </si>
  <si>
    <t>Cantitatea totala de azot care poate fi aplicata in ferma:</t>
  </si>
  <si>
    <t>Cantitate N care poate fi aplicata</t>
  </si>
  <si>
    <t>Cantitatea de N  aplicata prin gunoi</t>
  </si>
  <si>
    <t>Specificati printr-un "1" sistemul de aplicare a gunoiului</t>
  </si>
  <si>
    <t>Kg N /an</t>
  </si>
  <si>
    <t>Kg N / an</t>
  </si>
  <si>
    <t>Standard maxim de aplicare a ingrasamintelor (mineral+organic)</t>
  </si>
  <si>
    <t>Cantitatea de N care mai poate fi aplicata :</t>
  </si>
  <si>
    <t>Cantitatea de N organic care trebuie exportata din ferma</t>
  </si>
  <si>
    <t>echivalent a</t>
  </si>
  <si>
    <t>UVM</t>
  </si>
  <si>
    <t>Volum total dejectii</t>
  </si>
  <si>
    <t>solide</t>
  </si>
  <si>
    <t>semilichide</t>
  </si>
  <si>
    <t>ALTELE</t>
  </si>
  <si>
    <t>Iepuri</t>
  </si>
  <si>
    <t>0,03</t>
  </si>
  <si>
    <t>0,33</t>
  </si>
  <si>
    <t>0,011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</si>
</sst>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vertAlign val="superscript"/>
      <sz val="10"/>
      <color indexed="8"/>
      <name val="Times New Roman"/>
      <family val="1"/>
    </font>
    <font>
      <i/>
      <vertAlign val="superscript"/>
      <sz val="10"/>
      <color indexed="8"/>
      <name val="Times New Roman"/>
      <family val="1"/>
    </font>
    <font>
      <sz val="8"/>
      <name val="Arial"/>
    </font>
    <font>
      <b/>
      <sz val="10"/>
      <name val="Arial"/>
    </font>
    <font>
      <b/>
      <sz val="10"/>
      <color indexed="10"/>
      <name val="Arial"/>
      <family val="2"/>
    </font>
    <font>
      <b/>
      <sz val="9"/>
      <color indexed="10"/>
      <name val="Times New Roman"/>
      <family val="1"/>
    </font>
    <font>
      <b/>
      <sz val="10"/>
      <color indexed="10"/>
      <name val="Times New Roman"/>
      <family val="1"/>
    </font>
    <font>
      <sz val="9"/>
      <name val="Arial"/>
    </font>
    <font>
      <vertAlign val="superscript"/>
      <sz val="10"/>
      <name val="Arial"/>
      <family val="2"/>
    </font>
    <font>
      <vertAlign val="subscript"/>
      <sz val="10"/>
      <color indexed="8"/>
      <name val="Times New Roman"/>
      <family val="1"/>
    </font>
    <font>
      <sz val="10"/>
      <color indexed="8"/>
      <name val="Symbol"/>
      <family val="1"/>
      <charset val="2"/>
    </font>
    <font>
      <sz val="7"/>
      <color indexed="8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9" fontId="0" fillId="0" borderId="0" xfId="0" applyNumberFormat="1" applyAlignment="1">
      <alignment vertical="center"/>
    </xf>
    <xf numFmtId="0" fontId="2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7" xfId="0" applyBorder="1" applyAlignment="1">
      <alignment vertical="center"/>
    </xf>
    <xf numFmtId="49" fontId="0" fillId="0" borderId="14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horizontal="left" vertical="center"/>
    </xf>
    <xf numFmtId="49" fontId="0" fillId="3" borderId="12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49" fontId="0" fillId="0" borderId="7" xfId="0" applyNumberForma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2" fillId="0" borderId="14" xfId="0" applyFont="1" applyBorder="1" applyAlignment="1">
      <alignment vertical="center"/>
    </xf>
    <xf numFmtId="49" fontId="0" fillId="0" borderId="8" xfId="0" applyNumberFormat="1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12" fillId="0" borderId="13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2" borderId="0" xfId="0" applyFill="1" applyAlignment="1">
      <alignment vertical="center"/>
    </xf>
    <xf numFmtId="0" fontId="1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5" fillId="0" borderId="5" xfId="0" applyFont="1" applyBorder="1" applyAlignment="1">
      <alignment horizontal="left" wrapText="1" indent="2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/>
    <xf numFmtId="0" fontId="0" fillId="0" borderId="9" xfId="0" applyFill="1" applyBorder="1"/>
    <xf numFmtId="0" fontId="0" fillId="0" borderId="9" xfId="0" applyBorder="1"/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2" borderId="9" xfId="0" applyFill="1" applyBorder="1" applyAlignment="1">
      <alignment horizontal="center"/>
    </xf>
    <xf numFmtId="0" fontId="17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3" borderId="11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58</xdr:row>
      <xdr:rowOff>0</xdr:rowOff>
    </xdr:from>
    <xdr:to>
      <xdr:col>9</xdr:col>
      <xdr:colOff>556260</xdr:colOff>
      <xdr:row>59</xdr:row>
      <xdr:rowOff>289560</xdr:rowOff>
    </xdr:to>
    <xdr:sp macro="" textlink="">
      <xdr:nvSpPr>
        <xdr:cNvPr id="1045" name="Rectangle 1"/>
        <xdr:cNvSpPr>
          <a:spLocks noChangeArrowheads="1"/>
        </xdr:cNvSpPr>
      </xdr:nvSpPr>
      <xdr:spPr bwMode="auto">
        <a:xfrm>
          <a:off x="7620" y="21808440"/>
          <a:ext cx="102793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BDC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</xdr:colOff>
      <xdr:row>64</xdr:row>
      <xdr:rowOff>0</xdr:rowOff>
    </xdr:from>
    <xdr:to>
      <xdr:col>9</xdr:col>
      <xdr:colOff>556260</xdr:colOff>
      <xdr:row>65</xdr:row>
      <xdr:rowOff>289560</xdr:rowOff>
    </xdr:to>
    <xdr:sp macro="" textlink="">
      <xdr:nvSpPr>
        <xdr:cNvPr id="1046" name="Rectangle 1"/>
        <xdr:cNvSpPr>
          <a:spLocks noChangeArrowheads="1"/>
        </xdr:cNvSpPr>
      </xdr:nvSpPr>
      <xdr:spPr bwMode="auto">
        <a:xfrm>
          <a:off x="7620" y="23195280"/>
          <a:ext cx="102793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BDC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"/>
  <dimension ref="A1:M73"/>
  <sheetViews>
    <sheetView tabSelected="1" topLeftCell="A58" zoomScale="90" zoomScaleNormal="90" workbookViewId="0">
      <selection activeCell="C76" sqref="C76"/>
    </sheetView>
  </sheetViews>
  <sheetFormatPr defaultColWidth="9.109375" defaultRowHeight="13.2" x14ac:dyDescent="0.25"/>
  <cols>
    <col min="1" max="1" width="31.109375" style="5" customWidth="1"/>
    <col min="2" max="2" width="19.44140625" style="32" customWidth="1"/>
    <col min="3" max="3" width="15.44140625" style="32" customWidth="1"/>
    <col min="4" max="4" width="17.88671875" style="22" customWidth="1"/>
    <col min="5" max="5" width="17.44140625" style="5" customWidth="1"/>
    <col min="6" max="6" width="21.33203125" style="22" customWidth="1"/>
    <col min="7" max="7" width="19.109375" style="5" customWidth="1"/>
    <col min="8" max="8" width="0.109375" style="48" customWidth="1"/>
    <col min="9" max="9" width="8.33203125" style="48" hidden="1" customWidth="1"/>
    <col min="10" max="10" width="10" style="5" customWidth="1"/>
    <col min="11" max="11" width="3" style="53" customWidth="1"/>
    <col min="12" max="12" width="9.109375" style="51" customWidth="1"/>
    <col min="13" max="16384" width="9.109375" style="5"/>
  </cols>
  <sheetData>
    <row r="1" spans="1:12" ht="51.75" customHeight="1" thickBot="1" x14ac:dyDescent="0.3">
      <c r="A1" s="30" t="s">
        <v>74</v>
      </c>
      <c r="B1" s="1" t="s">
        <v>0</v>
      </c>
      <c r="C1" s="1" t="s">
        <v>194</v>
      </c>
      <c r="D1" s="2" t="s">
        <v>1</v>
      </c>
      <c r="E1" s="1" t="s">
        <v>2</v>
      </c>
      <c r="F1" s="3" t="s">
        <v>193</v>
      </c>
      <c r="G1" s="4" t="s">
        <v>195</v>
      </c>
      <c r="J1" s="108" t="s">
        <v>203</v>
      </c>
      <c r="K1" s="109"/>
      <c r="L1" s="110"/>
    </row>
    <row r="2" spans="1:12" ht="13.8" thickBot="1" x14ac:dyDescent="0.3">
      <c r="A2" s="111" t="s">
        <v>3</v>
      </c>
      <c r="B2" s="112"/>
      <c r="C2" s="112"/>
      <c r="D2" s="112"/>
      <c r="E2" s="112"/>
      <c r="F2" s="112"/>
      <c r="G2" s="112"/>
      <c r="H2" s="113"/>
      <c r="I2" s="113"/>
      <c r="J2" s="113"/>
      <c r="K2" s="113"/>
      <c r="L2" s="114"/>
    </row>
    <row r="3" spans="1:12" ht="27" thickBot="1" x14ac:dyDescent="0.3">
      <c r="A3" s="107" t="s">
        <v>4</v>
      </c>
      <c r="B3" s="8" t="s">
        <v>5</v>
      </c>
      <c r="C3" s="46"/>
      <c r="D3" s="11" t="s">
        <v>6</v>
      </c>
      <c r="E3" s="10" t="s">
        <v>7</v>
      </c>
      <c r="F3" s="11" t="s">
        <v>8</v>
      </c>
      <c r="G3" s="8" t="s">
        <v>9</v>
      </c>
      <c r="H3" s="48">
        <v>0.25</v>
      </c>
      <c r="I3" s="48">
        <v>0.4</v>
      </c>
      <c r="J3" s="49">
        <f>H3*C3</f>
        <v>0</v>
      </c>
      <c r="K3" s="52" t="s">
        <v>11</v>
      </c>
      <c r="L3" s="50">
        <f t="shared" ref="L3:L17" si="0">I3*C3</f>
        <v>0</v>
      </c>
    </row>
    <row r="4" spans="1:12" ht="27" thickBot="1" x14ac:dyDescent="0.3">
      <c r="A4" s="101"/>
      <c r="B4" s="8" t="s">
        <v>10</v>
      </c>
      <c r="C4" s="46"/>
      <c r="D4" s="11" t="s">
        <v>11</v>
      </c>
      <c r="E4" s="10" t="s">
        <v>12</v>
      </c>
      <c r="F4" s="11" t="s">
        <v>13</v>
      </c>
      <c r="G4" s="8" t="s">
        <v>14</v>
      </c>
      <c r="H4" s="48">
        <v>0.25</v>
      </c>
      <c r="I4" s="48">
        <v>0.45</v>
      </c>
      <c r="J4" s="49">
        <f t="shared" ref="J4:J17" si="1">H4*C4</f>
        <v>0</v>
      </c>
      <c r="K4" s="52" t="s">
        <v>11</v>
      </c>
      <c r="L4" s="50">
        <f t="shared" si="0"/>
        <v>0</v>
      </c>
    </row>
    <row r="5" spans="1:12" ht="13.8" thickBot="1" x14ac:dyDescent="0.3">
      <c r="A5" s="100" t="s">
        <v>15</v>
      </c>
      <c r="B5" s="8" t="s">
        <v>16</v>
      </c>
      <c r="C5" s="46"/>
      <c r="D5" s="11" t="s">
        <v>17</v>
      </c>
      <c r="E5" s="10" t="s">
        <v>7</v>
      </c>
      <c r="F5" s="11" t="s">
        <v>18</v>
      </c>
      <c r="G5" s="8" t="s">
        <v>19</v>
      </c>
      <c r="H5" s="48">
        <v>0.75</v>
      </c>
      <c r="I5" s="48">
        <v>0.95</v>
      </c>
      <c r="J5" s="49">
        <f t="shared" si="1"/>
        <v>0</v>
      </c>
      <c r="K5" s="52" t="s">
        <v>11</v>
      </c>
      <c r="L5" s="50">
        <f t="shared" si="0"/>
        <v>0</v>
      </c>
    </row>
    <row r="6" spans="1:12" ht="53.4" thickBot="1" x14ac:dyDescent="0.3">
      <c r="A6" s="106"/>
      <c r="B6" s="8" t="s">
        <v>20</v>
      </c>
      <c r="C6" s="46"/>
      <c r="D6" s="11" t="s">
        <v>21</v>
      </c>
      <c r="E6" s="10" t="s">
        <v>7</v>
      </c>
      <c r="F6" s="11" t="s">
        <v>22</v>
      </c>
      <c r="G6" s="8" t="s">
        <v>23</v>
      </c>
      <c r="H6" s="48">
        <v>0.7</v>
      </c>
      <c r="I6" s="48">
        <v>0.9</v>
      </c>
      <c r="J6" s="49">
        <f t="shared" si="1"/>
        <v>0</v>
      </c>
      <c r="K6" s="52" t="s">
        <v>11</v>
      </c>
      <c r="L6" s="50">
        <f t="shared" si="0"/>
        <v>0</v>
      </c>
    </row>
    <row r="7" spans="1:12" ht="53.4" thickBot="1" x14ac:dyDescent="0.3">
      <c r="A7" s="101"/>
      <c r="B7" s="8" t="s">
        <v>24</v>
      </c>
      <c r="C7" s="46"/>
      <c r="D7" s="11" t="s">
        <v>25</v>
      </c>
      <c r="E7" s="10" t="s">
        <v>7</v>
      </c>
      <c r="F7" s="11" t="s">
        <v>26</v>
      </c>
      <c r="G7" s="8" t="s">
        <v>27</v>
      </c>
      <c r="H7" s="48">
        <v>0.65</v>
      </c>
      <c r="I7" s="48">
        <v>0.95</v>
      </c>
      <c r="J7" s="49">
        <f t="shared" si="1"/>
        <v>0</v>
      </c>
      <c r="K7" s="52" t="s">
        <v>11</v>
      </c>
      <c r="L7" s="50">
        <f t="shared" si="0"/>
        <v>0</v>
      </c>
    </row>
    <row r="8" spans="1:12" ht="13.8" thickBot="1" x14ac:dyDescent="0.3">
      <c r="A8" s="100" t="s">
        <v>28</v>
      </c>
      <c r="B8" s="8" t="s">
        <v>16</v>
      </c>
      <c r="C8" s="46"/>
      <c r="D8" s="11">
        <v>3</v>
      </c>
      <c r="E8" s="10" t="s">
        <v>7</v>
      </c>
      <c r="F8" s="11" t="s">
        <v>29</v>
      </c>
      <c r="G8" s="8" t="s">
        <v>30</v>
      </c>
      <c r="H8" s="48">
        <v>1.1000000000000001</v>
      </c>
      <c r="I8" s="48">
        <v>1.4</v>
      </c>
      <c r="J8" s="49">
        <f t="shared" si="1"/>
        <v>0</v>
      </c>
      <c r="K8" s="52" t="s">
        <v>11</v>
      </c>
      <c r="L8" s="50">
        <f t="shared" si="0"/>
        <v>0</v>
      </c>
    </row>
    <row r="9" spans="1:12" ht="53.4" thickBot="1" x14ac:dyDescent="0.3">
      <c r="A9" s="106"/>
      <c r="B9" s="8" t="s">
        <v>20</v>
      </c>
      <c r="C9" s="46"/>
      <c r="D9" s="11" t="s">
        <v>25</v>
      </c>
      <c r="E9" s="10" t="s">
        <v>7</v>
      </c>
      <c r="F9" s="11" t="s">
        <v>31</v>
      </c>
      <c r="G9" s="8" t="s">
        <v>32</v>
      </c>
      <c r="H9" s="48">
        <v>1</v>
      </c>
      <c r="I9" s="48">
        <v>1.3</v>
      </c>
      <c r="J9" s="49">
        <f t="shared" si="1"/>
        <v>0</v>
      </c>
      <c r="K9" s="52" t="s">
        <v>11</v>
      </c>
      <c r="L9" s="50">
        <f t="shared" si="0"/>
        <v>0</v>
      </c>
    </row>
    <row r="10" spans="1:12" ht="13.8" thickBot="1" x14ac:dyDescent="0.3">
      <c r="A10" s="106"/>
      <c r="B10" s="8" t="s">
        <v>33</v>
      </c>
      <c r="C10" s="46"/>
      <c r="D10" s="11" t="s">
        <v>11</v>
      </c>
      <c r="E10" s="10" t="s">
        <v>12</v>
      </c>
      <c r="F10" s="11" t="s">
        <v>34</v>
      </c>
      <c r="G10" s="8" t="s">
        <v>35</v>
      </c>
      <c r="H10" s="48">
        <v>0.9</v>
      </c>
      <c r="I10" s="48">
        <v>1.3</v>
      </c>
      <c r="J10" s="49">
        <f t="shared" si="1"/>
        <v>0</v>
      </c>
      <c r="K10" s="52" t="s">
        <v>11</v>
      </c>
      <c r="L10" s="50">
        <f t="shared" si="0"/>
        <v>0</v>
      </c>
    </row>
    <row r="11" spans="1:12" ht="40.200000000000003" thickBot="1" x14ac:dyDescent="0.3">
      <c r="A11" s="101"/>
      <c r="B11" s="8" t="s">
        <v>36</v>
      </c>
      <c r="C11" s="46"/>
      <c r="D11" s="11" t="s">
        <v>25</v>
      </c>
      <c r="E11" s="10" t="s">
        <v>7</v>
      </c>
      <c r="F11" s="11" t="s">
        <v>29</v>
      </c>
      <c r="G11" s="8" t="s">
        <v>37</v>
      </c>
      <c r="H11" s="48">
        <v>1.05</v>
      </c>
      <c r="I11" s="48">
        <v>1.4</v>
      </c>
      <c r="J11" s="49">
        <f t="shared" si="1"/>
        <v>0</v>
      </c>
      <c r="K11" s="52" t="s">
        <v>11</v>
      </c>
      <c r="L11" s="50">
        <f t="shared" si="0"/>
        <v>0</v>
      </c>
    </row>
    <row r="12" spans="1:12" ht="75.75" customHeight="1" thickBot="1" x14ac:dyDescent="0.3">
      <c r="A12" s="100" t="s">
        <v>183</v>
      </c>
      <c r="B12" s="16" t="s">
        <v>20</v>
      </c>
      <c r="C12" s="69"/>
      <c r="D12" s="15" t="s">
        <v>38</v>
      </c>
      <c r="E12" s="14" t="s">
        <v>7</v>
      </c>
      <c r="F12" s="15" t="s">
        <v>39</v>
      </c>
      <c r="G12" s="16" t="s">
        <v>40</v>
      </c>
      <c r="H12" s="48">
        <v>1.4</v>
      </c>
      <c r="I12" s="48">
        <v>1.8</v>
      </c>
      <c r="J12" s="56">
        <f t="shared" si="1"/>
        <v>0</v>
      </c>
      <c r="K12" s="57" t="s">
        <v>11</v>
      </c>
      <c r="L12" s="58">
        <f t="shared" si="0"/>
        <v>0</v>
      </c>
    </row>
    <row r="13" spans="1:12" ht="75.75" customHeight="1" x14ac:dyDescent="0.25">
      <c r="A13" s="106"/>
      <c r="B13" s="103" t="s">
        <v>41</v>
      </c>
      <c r="C13" s="69"/>
      <c r="D13" s="105" t="s">
        <v>17</v>
      </c>
      <c r="E13" s="17" t="s">
        <v>185</v>
      </c>
      <c r="F13" s="15" t="s">
        <v>42</v>
      </c>
      <c r="G13" s="18" t="s">
        <v>43</v>
      </c>
      <c r="H13" s="48">
        <v>1.1000000000000001</v>
      </c>
      <c r="I13" s="48">
        <v>1.3</v>
      </c>
      <c r="J13" s="56">
        <f t="shared" si="1"/>
        <v>0</v>
      </c>
      <c r="K13" s="57" t="s">
        <v>11</v>
      </c>
      <c r="L13" s="58">
        <f t="shared" si="0"/>
        <v>0</v>
      </c>
    </row>
    <row r="14" spans="1:12" ht="13.8" thickBot="1" x14ac:dyDescent="0.3">
      <c r="A14" s="106"/>
      <c r="B14" s="104"/>
      <c r="C14" s="70"/>
      <c r="D14" s="104"/>
      <c r="E14" s="19" t="s">
        <v>184</v>
      </c>
      <c r="F14" s="20" t="s">
        <v>186</v>
      </c>
      <c r="G14" s="8" t="s">
        <v>44</v>
      </c>
      <c r="H14" s="48">
        <v>0.3</v>
      </c>
      <c r="I14" s="48">
        <v>0.5</v>
      </c>
      <c r="J14" s="59">
        <f t="shared" si="1"/>
        <v>0</v>
      </c>
      <c r="K14" s="54" t="s">
        <v>11</v>
      </c>
      <c r="L14" s="60">
        <f t="shared" si="0"/>
        <v>0</v>
      </c>
    </row>
    <row r="15" spans="1:12" ht="40.200000000000003" thickBot="1" x14ac:dyDescent="0.3">
      <c r="A15" s="106"/>
      <c r="B15" s="8" t="s">
        <v>45</v>
      </c>
      <c r="C15" s="46"/>
      <c r="D15" s="11" t="s">
        <v>46</v>
      </c>
      <c r="E15" s="10" t="s">
        <v>7</v>
      </c>
      <c r="F15" s="11" t="s">
        <v>47</v>
      </c>
      <c r="G15" s="8" t="s">
        <v>48</v>
      </c>
      <c r="H15" s="48">
        <v>1.6</v>
      </c>
      <c r="I15" s="48">
        <v>1.9</v>
      </c>
      <c r="J15" s="59">
        <f t="shared" si="1"/>
        <v>0</v>
      </c>
      <c r="K15" s="54" t="s">
        <v>11</v>
      </c>
      <c r="L15" s="60">
        <f t="shared" si="0"/>
        <v>0</v>
      </c>
    </row>
    <row r="16" spans="1:12" ht="53.4" thickBot="1" x14ac:dyDescent="0.3">
      <c r="A16" s="106"/>
      <c r="B16" s="8" t="s">
        <v>49</v>
      </c>
      <c r="C16" s="46"/>
      <c r="D16" s="11" t="s">
        <v>25</v>
      </c>
      <c r="E16" s="10" t="s">
        <v>7</v>
      </c>
      <c r="F16" s="11" t="s">
        <v>47</v>
      </c>
      <c r="G16" s="8" t="s">
        <v>48</v>
      </c>
      <c r="H16" s="48">
        <v>1.6</v>
      </c>
      <c r="I16" s="48">
        <v>1.9</v>
      </c>
      <c r="J16" s="49">
        <f t="shared" si="1"/>
        <v>0</v>
      </c>
      <c r="K16" s="52" t="s">
        <v>11</v>
      </c>
      <c r="L16" s="50">
        <f t="shared" si="0"/>
        <v>0</v>
      </c>
    </row>
    <row r="17" spans="1:12" ht="53.4" thickBot="1" x14ac:dyDescent="0.3">
      <c r="A17" s="106"/>
      <c r="B17" s="7" t="s">
        <v>50</v>
      </c>
      <c r="C17" s="71"/>
      <c r="D17" s="6" t="s">
        <v>11</v>
      </c>
      <c r="E17" s="23" t="s">
        <v>12</v>
      </c>
      <c r="F17" s="6" t="s">
        <v>51</v>
      </c>
      <c r="G17" s="7" t="s">
        <v>52</v>
      </c>
      <c r="H17" s="48">
        <v>1.2</v>
      </c>
      <c r="I17" s="48">
        <v>1.6</v>
      </c>
      <c r="J17" s="56">
        <f t="shared" si="1"/>
        <v>0</v>
      </c>
      <c r="K17" s="57" t="s">
        <v>11</v>
      </c>
      <c r="L17" s="58">
        <f t="shared" si="0"/>
        <v>0</v>
      </c>
    </row>
    <row r="18" spans="1:12" ht="13.8" thickBot="1" x14ac:dyDescent="0.3">
      <c r="A18" s="111" t="s">
        <v>53</v>
      </c>
      <c r="B18" s="112"/>
      <c r="C18" s="112"/>
      <c r="D18" s="112"/>
      <c r="E18" s="112"/>
      <c r="F18" s="112"/>
      <c r="G18" s="112"/>
      <c r="H18" s="113"/>
      <c r="I18" s="113"/>
      <c r="J18" s="113"/>
      <c r="K18" s="61"/>
      <c r="L18" s="62"/>
    </row>
    <row r="19" spans="1:12" ht="13.8" thickBot="1" x14ac:dyDescent="0.3">
      <c r="A19" s="107" t="s">
        <v>4</v>
      </c>
      <c r="B19" s="8" t="s">
        <v>54</v>
      </c>
      <c r="C19" s="46"/>
      <c r="D19" s="11" t="s">
        <v>6</v>
      </c>
      <c r="E19" s="10" t="s">
        <v>55</v>
      </c>
      <c r="F19" s="11" t="s">
        <v>8</v>
      </c>
      <c r="G19" s="8" t="s">
        <v>9</v>
      </c>
      <c r="H19" s="48">
        <v>0.25</v>
      </c>
      <c r="I19" s="48">
        <v>0.4</v>
      </c>
      <c r="J19" s="59">
        <f t="shared" ref="J19:J26" si="2">H19*C19</f>
        <v>0</v>
      </c>
      <c r="K19" s="54" t="s">
        <v>11</v>
      </c>
      <c r="L19" s="60">
        <f t="shared" ref="L19:L26" si="3">I19*C19</f>
        <v>0</v>
      </c>
    </row>
    <row r="20" spans="1:12" ht="27" thickBot="1" x14ac:dyDescent="0.3">
      <c r="A20" s="101"/>
      <c r="B20" s="8" t="s">
        <v>56</v>
      </c>
      <c r="C20" s="46"/>
      <c r="D20" s="11" t="s">
        <v>11</v>
      </c>
      <c r="E20" s="10" t="s">
        <v>12</v>
      </c>
      <c r="F20" s="11" t="s">
        <v>13</v>
      </c>
      <c r="G20" s="8" t="s">
        <v>14</v>
      </c>
      <c r="H20" s="48">
        <v>0.25</v>
      </c>
      <c r="I20" s="48">
        <v>0.45</v>
      </c>
      <c r="J20" s="49">
        <f t="shared" si="2"/>
        <v>0</v>
      </c>
      <c r="K20" s="52" t="s">
        <v>11</v>
      </c>
      <c r="L20" s="50">
        <f t="shared" si="3"/>
        <v>0</v>
      </c>
    </row>
    <row r="21" spans="1:12" ht="13.8" thickBot="1" x14ac:dyDescent="0.3">
      <c r="A21" s="100" t="s">
        <v>28</v>
      </c>
      <c r="B21" s="8" t="s">
        <v>57</v>
      </c>
      <c r="C21" s="46"/>
      <c r="D21" s="11" t="s">
        <v>6</v>
      </c>
      <c r="E21" s="10" t="s">
        <v>55</v>
      </c>
      <c r="F21" s="11" t="s">
        <v>58</v>
      </c>
      <c r="G21" s="8" t="s">
        <v>32</v>
      </c>
      <c r="H21" s="48">
        <v>1</v>
      </c>
      <c r="I21" s="48">
        <v>1.3</v>
      </c>
      <c r="J21" s="49">
        <f t="shared" si="2"/>
        <v>0</v>
      </c>
      <c r="K21" s="52" t="s">
        <v>11</v>
      </c>
      <c r="L21" s="50">
        <f t="shared" si="3"/>
        <v>0</v>
      </c>
    </row>
    <row r="22" spans="1:12" ht="27" thickBot="1" x14ac:dyDescent="0.3">
      <c r="A22" s="101"/>
      <c r="B22" s="8" t="s">
        <v>59</v>
      </c>
      <c r="C22" s="46"/>
      <c r="D22" s="11" t="s">
        <v>11</v>
      </c>
      <c r="E22" s="10" t="s">
        <v>12</v>
      </c>
      <c r="F22" s="11" t="s">
        <v>34</v>
      </c>
      <c r="G22" s="8" t="s">
        <v>60</v>
      </c>
      <c r="H22" s="48">
        <v>0.9</v>
      </c>
      <c r="I22" s="48">
        <v>1.2</v>
      </c>
      <c r="J22" s="49">
        <f t="shared" si="2"/>
        <v>0</v>
      </c>
      <c r="K22" s="52" t="s">
        <v>11</v>
      </c>
      <c r="L22" s="50">
        <f t="shared" si="3"/>
        <v>0</v>
      </c>
    </row>
    <row r="23" spans="1:12" ht="13.8" thickBot="1" x14ac:dyDescent="0.3">
      <c r="A23" s="9" t="s">
        <v>15</v>
      </c>
      <c r="B23" s="8" t="s">
        <v>61</v>
      </c>
      <c r="C23" s="46"/>
      <c r="D23" s="11" t="s">
        <v>62</v>
      </c>
      <c r="E23" s="10" t="s">
        <v>55</v>
      </c>
      <c r="F23" s="11" t="s">
        <v>63</v>
      </c>
      <c r="G23" s="8" t="s">
        <v>64</v>
      </c>
      <c r="H23" s="48">
        <v>0.8</v>
      </c>
      <c r="I23" s="48">
        <v>1</v>
      </c>
      <c r="J23" s="49">
        <f t="shared" si="2"/>
        <v>0</v>
      </c>
      <c r="K23" s="52" t="s">
        <v>11</v>
      </c>
      <c r="L23" s="50">
        <f t="shared" si="3"/>
        <v>0</v>
      </c>
    </row>
    <row r="24" spans="1:12" ht="27" thickBot="1" x14ac:dyDescent="0.3">
      <c r="A24" s="13"/>
      <c r="B24" s="8" t="s">
        <v>65</v>
      </c>
      <c r="C24" s="46"/>
      <c r="D24" s="11" t="s">
        <v>11</v>
      </c>
      <c r="E24" s="10" t="s">
        <v>12</v>
      </c>
      <c r="F24" s="11" t="s">
        <v>66</v>
      </c>
      <c r="G24" s="8" t="s">
        <v>67</v>
      </c>
      <c r="H24" s="48">
        <v>0.6</v>
      </c>
      <c r="I24" s="48">
        <v>0.8</v>
      </c>
      <c r="J24" s="49">
        <f t="shared" si="2"/>
        <v>0</v>
      </c>
      <c r="K24" s="52" t="s">
        <v>11</v>
      </c>
      <c r="L24" s="50">
        <f t="shared" si="3"/>
        <v>0</v>
      </c>
    </row>
    <row r="25" spans="1:12" ht="13.8" thickBot="1" x14ac:dyDescent="0.3">
      <c r="A25" s="100" t="s">
        <v>183</v>
      </c>
      <c r="B25" s="31" t="s">
        <v>57</v>
      </c>
      <c r="C25" s="72"/>
      <c r="D25" s="36" t="s">
        <v>68</v>
      </c>
      <c r="E25" s="26" t="s">
        <v>55</v>
      </c>
      <c r="F25" s="36" t="s">
        <v>69</v>
      </c>
      <c r="G25" s="31" t="s">
        <v>70</v>
      </c>
      <c r="H25" s="48">
        <v>1.5</v>
      </c>
      <c r="I25" s="48">
        <v>1.9</v>
      </c>
      <c r="J25" s="49">
        <f t="shared" si="2"/>
        <v>0</v>
      </c>
      <c r="K25" s="52" t="s">
        <v>11</v>
      </c>
      <c r="L25" s="50">
        <f t="shared" si="3"/>
        <v>0</v>
      </c>
    </row>
    <row r="26" spans="1:12" ht="53.4" thickBot="1" x14ac:dyDescent="0.3">
      <c r="A26" s="101"/>
      <c r="B26" s="8" t="s">
        <v>71</v>
      </c>
      <c r="C26" s="46"/>
      <c r="D26" s="11" t="s">
        <v>11</v>
      </c>
      <c r="E26" s="10" t="s">
        <v>12</v>
      </c>
      <c r="F26" s="11" t="s">
        <v>72</v>
      </c>
      <c r="G26" s="8" t="s">
        <v>73</v>
      </c>
      <c r="H26" s="48">
        <v>1.2</v>
      </c>
      <c r="I26" s="48">
        <v>1.5</v>
      </c>
      <c r="J26" s="49">
        <f t="shared" si="2"/>
        <v>0</v>
      </c>
      <c r="K26" s="52" t="s">
        <v>11</v>
      </c>
      <c r="L26" s="50">
        <f t="shared" si="3"/>
        <v>0</v>
      </c>
    </row>
    <row r="27" spans="1:12" ht="13.8" thickBot="1" x14ac:dyDescent="0.3">
      <c r="A27" s="40" t="s">
        <v>196</v>
      </c>
      <c r="B27" s="33"/>
      <c r="C27" s="33"/>
      <c r="D27" s="35"/>
      <c r="E27" s="34"/>
      <c r="F27" s="35"/>
      <c r="G27" s="33"/>
    </row>
    <row r="28" spans="1:12" ht="24.75" customHeight="1" thickBot="1" x14ac:dyDescent="0.3">
      <c r="A28" s="29" t="s">
        <v>77</v>
      </c>
      <c r="B28" s="31" t="s">
        <v>78</v>
      </c>
      <c r="C28" s="72"/>
      <c r="D28" s="27" t="s">
        <v>79</v>
      </c>
      <c r="E28" s="25" t="s">
        <v>7</v>
      </c>
      <c r="F28" s="27" t="s">
        <v>80</v>
      </c>
      <c r="G28" s="28" t="s">
        <v>81</v>
      </c>
      <c r="H28" s="48">
        <v>0.5</v>
      </c>
      <c r="I28" s="48">
        <v>0.7</v>
      </c>
      <c r="J28" s="49">
        <f t="shared" ref="J28:J39" si="4">H28*C28</f>
        <v>0</v>
      </c>
      <c r="K28" s="52" t="s">
        <v>11</v>
      </c>
      <c r="L28" s="50">
        <f t="shared" ref="L28:L39" si="5">I28*C28</f>
        <v>0</v>
      </c>
    </row>
    <row r="29" spans="1:12" ht="13.8" thickBot="1" x14ac:dyDescent="0.3">
      <c r="A29" s="107" t="s">
        <v>82</v>
      </c>
      <c r="B29" s="8" t="s">
        <v>16</v>
      </c>
      <c r="C29" s="46"/>
      <c r="D29" s="11" t="s">
        <v>25</v>
      </c>
      <c r="E29" s="10" t="s">
        <v>7</v>
      </c>
      <c r="F29" s="11" t="s">
        <v>83</v>
      </c>
      <c r="G29" s="8" t="s">
        <v>84</v>
      </c>
      <c r="H29" s="48">
        <v>0.45</v>
      </c>
      <c r="I29" s="48">
        <v>0.6</v>
      </c>
      <c r="J29" s="49">
        <f t="shared" si="4"/>
        <v>0</v>
      </c>
      <c r="K29" s="52" t="s">
        <v>11</v>
      </c>
      <c r="L29" s="50">
        <f t="shared" si="5"/>
        <v>0</v>
      </c>
    </row>
    <row r="30" spans="1:12" ht="53.4" thickBot="1" x14ac:dyDescent="0.3">
      <c r="A30" s="106"/>
      <c r="B30" s="8" t="s">
        <v>85</v>
      </c>
      <c r="C30" s="46"/>
      <c r="D30" s="11" t="s">
        <v>86</v>
      </c>
      <c r="E30" s="10" t="s">
        <v>7</v>
      </c>
      <c r="F30" s="11" t="s">
        <v>187</v>
      </c>
      <c r="G30" s="8" t="s">
        <v>87</v>
      </c>
      <c r="H30" s="48">
        <v>0.45</v>
      </c>
      <c r="I30" s="48">
        <v>0.65</v>
      </c>
      <c r="J30" s="49">
        <f t="shared" si="4"/>
        <v>0</v>
      </c>
      <c r="K30" s="52" t="s">
        <v>11</v>
      </c>
      <c r="L30" s="50">
        <f t="shared" si="5"/>
        <v>0</v>
      </c>
    </row>
    <row r="31" spans="1:12" ht="53.4" thickBot="1" x14ac:dyDescent="0.3">
      <c r="A31" s="101"/>
      <c r="B31" s="8" t="s">
        <v>88</v>
      </c>
      <c r="C31" s="46"/>
      <c r="D31" s="11" t="s">
        <v>89</v>
      </c>
      <c r="E31" s="10" t="s">
        <v>12</v>
      </c>
      <c r="F31" s="11" t="s">
        <v>186</v>
      </c>
      <c r="G31" s="8" t="s">
        <v>90</v>
      </c>
      <c r="H31" s="48">
        <v>0.3</v>
      </c>
      <c r="I31" s="48">
        <v>0.45</v>
      </c>
      <c r="J31" s="56">
        <f t="shared" si="4"/>
        <v>0</v>
      </c>
      <c r="K31" s="57" t="s">
        <v>11</v>
      </c>
      <c r="L31" s="58">
        <f t="shared" si="5"/>
        <v>0</v>
      </c>
    </row>
    <row r="32" spans="1:12" ht="50.25" customHeight="1" x14ac:dyDescent="0.25">
      <c r="A32" s="100" t="s">
        <v>91</v>
      </c>
      <c r="B32" s="16" t="s">
        <v>92</v>
      </c>
      <c r="C32" s="69"/>
      <c r="D32" s="15" t="s">
        <v>188</v>
      </c>
      <c r="E32" s="14" t="s">
        <v>7</v>
      </c>
      <c r="F32" s="15" t="s">
        <v>93</v>
      </c>
      <c r="G32" s="16" t="s">
        <v>94</v>
      </c>
      <c r="H32" s="48">
        <v>0.6</v>
      </c>
      <c r="I32" s="48">
        <v>0.7</v>
      </c>
      <c r="J32" s="56">
        <f t="shared" si="4"/>
        <v>0</v>
      </c>
      <c r="K32" s="57" t="s">
        <v>11</v>
      </c>
      <c r="L32" s="58">
        <f t="shared" si="5"/>
        <v>0</v>
      </c>
    </row>
    <row r="33" spans="1:12" ht="40.200000000000003" thickBot="1" x14ac:dyDescent="0.3">
      <c r="A33" s="101"/>
      <c r="B33" s="8" t="s">
        <v>95</v>
      </c>
      <c r="C33" s="46"/>
      <c r="D33" s="11" t="s">
        <v>96</v>
      </c>
      <c r="E33" s="10" t="s">
        <v>12</v>
      </c>
      <c r="F33" s="11" t="s">
        <v>97</v>
      </c>
      <c r="G33" s="8" t="s">
        <v>84</v>
      </c>
      <c r="H33" s="48">
        <v>0.45</v>
      </c>
      <c r="I33" s="48">
        <v>0.6</v>
      </c>
      <c r="J33" s="59">
        <f t="shared" si="4"/>
        <v>0</v>
      </c>
      <c r="K33" s="54" t="s">
        <v>11</v>
      </c>
      <c r="L33" s="60">
        <f t="shared" si="5"/>
        <v>0</v>
      </c>
    </row>
    <row r="34" spans="1:12" ht="13.8" thickBot="1" x14ac:dyDescent="0.3">
      <c r="A34" s="100" t="s">
        <v>98</v>
      </c>
      <c r="B34" s="8" t="s">
        <v>16</v>
      </c>
      <c r="C34" s="46"/>
      <c r="D34" s="11" t="s">
        <v>99</v>
      </c>
      <c r="E34" s="10" t="s">
        <v>100</v>
      </c>
      <c r="F34" s="11" t="s">
        <v>189</v>
      </c>
      <c r="G34" s="8" t="s">
        <v>101</v>
      </c>
      <c r="H34" s="48">
        <v>0.15</v>
      </c>
      <c r="I34" s="48">
        <v>0.2</v>
      </c>
      <c r="J34" s="59">
        <f t="shared" si="4"/>
        <v>0</v>
      </c>
      <c r="K34" s="54" t="s">
        <v>11</v>
      </c>
      <c r="L34" s="60">
        <f t="shared" si="5"/>
        <v>0</v>
      </c>
    </row>
    <row r="35" spans="1:12" ht="53.4" thickBot="1" x14ac:dyDescent="0.3">
      <c r="A35" s="106"/>
      <c r="B35" s="8" t="s">
        <v>102</v>
      </c>
      <c r="C35" s="46"/>
      <c r="D35" s="11" t="s">
        <v>103</v>
      </c>
      <c r="E35" s="10" t="s">
        <v>100</v>
      </c>
      <c r="F35" s="11" t="s">
        <v>104</v>
      </c>
      <c r="G35" s="8" t="s">
        <v>105</v>
      </c>
      <c r="H35" s="48">
        <v>0.1</v>
      </c>
      <c r="I35" s="48">
        <v>0.15</v>
      </c>
      <c r="J35" s="49">
        <f t="shared" si="4"/>
        <v>0</v>
      </c>
      <c r="K35" s="52" t="s">
        <v>11</v>
      </c>
      <c r="L35" s="50">
        <f t="shared" si="5"/>
        <v>0</v>
      </c>
    </row>
    <row r="36" spans="1:12" ht="27" thickBot="1" x14ac:dyDescent="0.3">
      <c r="A36" s="101"/>
      <c r="B36" s="8" t="s">
        <v>106</v>
      </c>
      <c r="C36" s="46"/>
      <c r="D36" s="11" t="s">
        <v>96</v>
      </c>
      <c r="E36" s="10" t="s">
        <v>12</v>
      </c>
      <c r="F36" s="11" t="s">
        <v>190</v>
      </c>
      <c r="G36" s="8" t="s">
        <v>107</v>
      </c>
      <c r="H36" s="48">
        <v>0.09</v>
      </c>
      <c r="I36" s="48">
        <v>0.1</v>
      </c>
      <c r="J36" s="49">
        <f t="shared" si="4"/>
        <v>0</v>
      </c>
      <c r="K36" s="52" t="s">
        <v>11</v>
      </c>
      <c r="L36" s="50">
        <f t="shared" si="5"/>
        <v>0</v>
      </c>
    </row>
    <row r="37" spans="1:12" ht="13.8" thickBot="1" x14ac:dyDescent="0.3">
      <c r="A37" s="100" t="s">
        <v>108</v>
      </c>
      <c r="B37" s="8" t="s">
        <v>16</v>
      </c>
      <c r="C37" s="46"/>
      <c r="D37" s="11" t="s">
        <v>109</v>
      </c>
      <c r="E37" s="10" t="s">
        <v>100</v>
      </c>
      <c r="F37" s="11" t="s">
        <v>191</v>
      </c>
      <c r="G37" s="8" t="s">
        <v>110</v>
      </c>
      <c r="H37" s="48">
        <v>0.25</v>
      </c>
      <c r="I37" s="48">
        <v>0.35</v>
      </c>
      <c r="J37" s="49">
        <f t="shared" si="4"/>
        <v>0</v>
      </c>
      <c r="K37" s="52" t="s">
        <v>11</v>
      </c>
      <c r="L37" s="50">
        <f t="shared" si="5"/>
        <v>0</v>
      </c>
    </row>
    <row r="38" spans="1:12" ht="53.4" thickBot="1" x14ac:dyDescent="0.3">
      <c r="A38" s="106"/>
      <c r="B38" s="8" t="s">
        <v>111</v>
      </c>
      <c r="C38" s="46"/>
      <c r="D38" s="11" t="s">
        <v>112</v>
      </c>
      <c r="E38" s="10" t="s">
        <v>100</v>
      </c>
      <c r="F38" s="11" t="s">
        <v>17</v>
      </c>
      <c r="G38" s="8" t="s">
        <v>113</v>
      </c>
      <c r="H38" s="48">
        <v>0.2</v>
      </c>
      <c r="I38" s="48">
        <v>0.4</v>
      </c>
      <c r="J38" s="49">
        <f t="shared" si="4"/>
        <v>0</v>
      </c>
      <c r="K38" s="52" t="s">
        <v>11</v>
      </c>
      <c r="L38" s="50">
        <f t="shared" si="5"/>
        <v>0</v>
      </c>
    </row>
    <row r="39" spans="1:12" ht="27" thickBot="1" x14ac:dyDescent="0.3">
      <c r="A39" s="101"/>
      <c r="B39" s="8" t="s">
        <v>114</v>
      </c>
      <c r="C39" s="46">
        <v>10</v>
      </c>
      <c r="D39" s="11" t="s">
        <v>96</v>
      </c>
      <c r="E39" s="10" t="s">
        <v>12</v>
      </c>
      <c r="F39" s="11">
        <v>41767</v>
      </c>
      <c r="G39" s="8" t="s">
        <v>115</v>
      </c>
      <c r="H39" s="48">
        <v>0.15</v>
      </c>
      <c r="I39" s="48">
        <v>0.25</v>
      </c>
      <c r="J39" s="49">
        <f t="shared" si="4"/>
        <v>1.5</v>
      </c>
      <c r="K39" s="52" t="s">
        <v>11</v>
      </c>
      <c r="L39" s="50">
        <f t="shared" si="5"/>
        <v>2.5</v>
      </c>
    </row>
    <row r="40" spans="1:12" ht="13.8" thickBot="1" x14ac:dyDescent="0.3">
      <c r="A40" s="45" t="s">
        <v>197</v>
      </c>
    </row>
    <row r="41" spans="1:12" ht="55.8" thickBot="1" x14ac:dyDescent="0.3">
      <c r="A41" s="1" t="s">
        <v>116</v>
      </c>
      <c r="B41" s="1" t="s">
        <v>117</v>
      </c>
      <c r="C41" s="4"/>
      <c r="D41" s="3" t="s">
        <v>198</v>
      </c>
      <c r="E41" s="1" t="s">
        <v>76</v>
      </c>
      <c r="F41" s="2" t="s">
        <v>202</v>
      </c>
      <c r="G41" s="4" t="s">
        <v>201</v>
      </c>
    </row>
    <row r="42" spans="1:12" ht="13.8" thickBot="1" x14ac:dyDescent="0.3">
      <c r="A42" s="29" t="s">
        <v>118</v>
      </c>
      <c r="B42" s="28" t="s">
        <v>119</v>
      </c>
      <c r="C42" s="37"/>
      <c r="D42" s="27" t="s">
        <v>120</v>
      </c>
      <c r="E42" s="25" t="s">
        <v>121</v>
      </c>
      <c r="F42" s="27" t="s">
        <v>122</v>
      </c>
      <c r="G42" s="28" t="s">
        <v>123</v>
      </c>
      <c r="H42" s="48">
        <v>3</v>
      </c>
      <c r="I42" s="48">
        <v>3.8</v>
      </c>
      <c r="J42" s="49">
        <f>H42*C42/1000</f>
        <v>0</v>
      </c>
      <c r="K42" s="52" t="s">
        <v>11</v>
      </c>
      <c r="L42" s="50">
        <f t="shared" ref="L42:L52" si="6">I42*C42/1000</f>
        <v>0</v>
      </c>
    </row>
    <row r="43" spans="1:12" ht="13.8" thickBot="1" x14ac:dyDescent="0.3">
      <c r="A43" s="12" t="s">
        <v>124</v>
      </c>
      <c r="B43" s="8" t="s">
        <v>119</v>
      </c>
      <c r="C43" s="46"/>
      <c r="D43" s="11" t="s">
        <v>125</v>
      </c>
      <c r="E43" s="10" t="s">
        <v>121</v>
      </c>
      <c r="F43" s="11" t="s">
        <v>126</v>
      </c>
      <c r="G43" s="8" t="s">
        <v>127</v>
      </c>
      <c r="H43" s="48">
        <v>4.7</v>
      </c>
      <c r="I43" s="48">
        <v>5</v>
      </c>
      <c r="J43" s="49">
        <f t="shared" ref="J43:J52" si="7">H43*C43/1000</f>
        <v>0</v>
      </c>
      <c r="K43" s="52" t="s">
        <v>11</v>
      </c>
      <c r="L43" s="50">
        <f t="shared" si="6"/>
        <v>0</v>
      </c>
    </row>
    <row r="44" spans="1:12" ht="27" thickBot="1" x14ac:dyDescent="0.3">
      <c r="A44" s="29" t="s">
        <v>128</v>
      </c>
      <c r="B44" s="28" t="s">
        <v>129</v>
      </c>
      <c r="C44" s="37"/>
      <c r="D44" s="27" t="s">
        <v>130</v>
      </c>
      <c r="E44" s="26" t="s">
        <v>134</v>
      </c>
      <c r="F44" s="27" t="s">
        <v>131</v>
      </c>
      <c r="G44" s="28" t="s">
        <v>131</v>
      </c>
      <c r="H44" s="48">
        <v>8.1999999999999993</v>
      </c>
      <c r="I44" s="48">
        <v>8.1999999999999993</v>
      </c>
      <c r="J44" s="49">
        <f t="shared" si="7"/>
        <v>0</v>
      </c>
      <c r="K44" s="52" t="s">
        <v>11</v>
      </c>
      <c r="L44" s="50">
        <f t="shared" si="6"/>
        <v>0</v>
      </c>
    </row>
    <row r="45" spans="1:12" ht="27" thickBot="1" x14ac:dyDescent="0.3">
      <c r="A45" s="12" t="s">
        <v>132</v>
      </c>
      <c r="B45" s="8" t="s">
        <v>119</v>
      </c>
      <c r="C45" s="46"/>
      <c r="D45" s="11" t="s">
        <v>133</v>
      </c>
      <c r="E45" s="10" t="s">
        <v>134</v>
      </c>
      <c r="F45" s="11" t="s">
        <v>135</v>
      </c>
      <c r="G45" s="8" t="s">
        <v>136</v>
      </c>
      <c r="H45" s="48">
        <v>20.6</v>
      </c>
      <c r="I45" s="48">
        <v>22</v>
      </c>
      <c r="J45" s="49">
        <f t="shared" si="7"/>
        <v>0</v>
      </c>
      <c r="K45" s="52" t="s">
        <v>11</v>
      </c>
      <c r="L45" s="50">
        <f t="shared" si="6"/>
        <v>0</v>
      </c>
    </row>
    <row r="46" spans="1:12" ht="27" thickBot="1" x14ac:dyDescent="0.3">
      <c r="A46" s="29">
        <v>150</v>
      </c>
      <c r="B46" s="16" t="s">
        <v>137</v>
      </c>
      <c r="C46" s="69"/>
      <c r="D46" s="15" t="s">
        <v>133</v>
      </c>
      <c r="E46" s="14" t="s">
        <v>134</v>
      </c>
      <c r="F46" s="15" t="s">
        <v>138</v>
      </c>
      <c r="G46" s="16" t="s">
        <v>138</v>
      </c>
      <c r="H46" s="48">
        <v>18.7</v>
      </c>
      <c r="I46" s="48">
        <v>18.7</v>
      </c>
      <c r="J46" s="49">
        <f t="shared" si="7"/>
        <v>0</v>
      </c>
      <c r="K46" s="52" t="s">
        <v>11</v>
      </c>
      <c r="L46" s="50">
        <f t="shared" si="6"/>
        <v>0</v>
      </c>
    </row>
    <row r="47" spans="1:12" ht="27" thickBot="1" x14ac:dyDescent="0.3">
      <c r="A47" s="29" t="s">
        <v>192</v>
      </c>
      <c r="B47" s="28" t="s">
        <v>119</v>
      </c>
      <c r="C47" s="37"/>
      <c r="D47" s="27" t="s">
        <v>133</v>
      </c>
      <c r="E47" s="25" t="s">
        <v>121</v>
      </c>
      <c r="F47" s="27" t="s">
        <v>138</v>
      </c>
      <c r="G47" s="28" t="s">
        <v>139</v>
      </c>
      <c r="H47" s="48">
        <v>18.7</v>
      </c>
      <c r="I47" s="48">
        <v>20</v>
      </c>
      <c r="J47" s="49">
        <f t="shared" si="7"/>
        <v>0</v>
      </c>
      <c r="K47" s="52" t="s">
        <v>11</v>
      </c>
      <c r="L47" s="50">
        <f t="shared" si="6"/>
        <v>0</v>
      </c>
    </row>
    <row r="48" spans="1:12" ht="13.8" thickBot="1" x14ac:dyDescent="0.3">
      <c r="A48" s="12" t="s">
        <v>140</v>
      </c>
      <c r="B48" s="8" t="s">
        <v>119</v>
      </c>
      <c r="C48" s="46"/>
      <c r="D48" s="11" t="s">
        <v>141</v>
      </c>
      <c r="E48" s="10" t="s">
        <v>121</v>
      </c>
      <c r="F48" s="11" t="s">
        <v>142</v>
      </c>
      <c r="G48" s="8" t="s">
        <v>143</v>
      </c>
      <c r="H48" s="48">
        <v>16</v>
      </c>
      <c r="I48" s="48">
        <v>18</v>
      </c>
      <c r="J48" s="49">
        <f t="shared" si="7"/>
        <v>0</v>
      </c>
      <c r="K48" s="52" t="s">
        <v>11</v>
      </c>
      <c r="L48" s="50">
        <f t="shared" si="6"/>
        <v>0</v>
      </c>
    </row>
    <row r="49" spans="1:12" ht="13.8" thickBot="1" x14ac:dyDescent="0.3">
      <c r="A49" s="12" t="s">
        <v>144</v>
      </c>
      <c r="B49" s="8" t="s">
        <v>119</v>
      </c>
      <c r="C49" s="46"/>
      <c r="D49" s="11" t="s">
        <v>145</v>
      </c>
      <c r="E49" s="10" t="s">
        <v>121</v>
      </c>
      <c r="F49" s="11" t="s">
        <v>146</v>
      </c>
      <c r="G49" s="8" t="s">
        <v>147</v>
      </c>
      <c r="H49" s="48">
        <v>13</v>
      </c>
      <c r="I49" s="48">
        <v>14.8</v>
      </c>
      <c r="J49" s="49">
        <f t="shared" si="7"/>
        <v>0</v>
      </c>
      <c r="K49" s="52" t="s">
        <v>11</v>
      </c>
      <c r="L49" s="50">
        <f t="shared" si="6"/>
        <v>0</v>
      </c>
    </row>
    <row r="50" spans="1:12" ht="13.8" thickBot="1" x14ac:dyDescent="0.3">
      <c r="A50" s="12" t="s">
        <v>148</v>
      </c>
      <c r="B50" s="8" t="s">
        <v>119</v>
      </c>
      <c r="C50" s="46"/>
      <c r="D50" s="11" t="s">
        <v>149</v>
      </c>
      <c r="E50" s="10" t="s">
        <v>121</v>
      </c>
      <c r="F50" s="11" t="s">
        <v>150</v>
      </c>
      <c r="G50" s="8" t="s">
        <v>151</v>
      </c>
      <c r="H50" s="48">
        <v>36</v>
      </c>
      <c r="I50" s="48">
        <v>41</v>
      </c>
      <c r="J50" s="49">
        <f t="shared" si="7"/>
        <v>0</v>
      </c>
      <c r="K50" s="52" t="s">
        <v>11</v>
      </c>
      <c r="L50" s="50">
        <f t="shared" si="6"/>
        <v>0</v>
      </c>
    </row>
    <row r="51" spans="1:12" ht="27" thickBot="1" x14ac:dyDescent="0.3">
      <c r="A51" s="100" t="s">
        <v>152</v>
      </c>
      <c r="B51" s="8" t="s">
        <v>137</v>
      </c>
      <c r="C51" s="46"/>
      <c r="D51" s="11" t="s">
        <v>153</v>
      </c>
      <c r="E51" s="10" t="s">
        <v>134</v>
      </c>
      <c r="F51" s="11" t="s">
        <v>154</v>
      </c>
      <c r="G51" s="8" t="s">
        <v>154</v>
      </c>
      <c r="H51" s="48">
        <v>33</v>
      </c>
      <c r="I51" s="48">
        <v>33</v>
      </c>
      <c r="J51" s="49">
        <f t="shared" si="7"/>
        <v>0</v>
      </c>
      <c r="K51" s="52" t="s">
        <v>11</v>
      </c>
      <c r="L51" s="50">
        <f t="shared" si="6"/>
        <v>0</v>
      </c>
    </row>
    <row r="52" spans="1:12" ht="13.8" thickBot="1" x14ac:dyDescent="0.3">
      <c r="A52" s="102"/>
      <c r="B52" s="8" t="s">
        <v>119</v>
      </c>
      <c r="C52" s="46"/>
      <c r="D52" s="11" t="s">
        <v>153</v>
      </c>
      <c r="E52" s="10" t="s">
        <v>121</v>
      </c>
      <c r="F52" s="11" t="s">
        <v>154</v>
      </c>
      <c r="G52" s="8" t="s">
        <v>155</v>
      </c>
      <c r="H52" s="48">
        <v>33</v>
      </c>
      <c r="I52" s="48">
        <v>36</v>
      </c>
      <c r="J52" s="49">
        <f t="shared" si="7"/>
        <v>0</v>
      </c>
      <c r="K52" s="52" t="s">
        <v>11</v>
      </c>
      <c r="L52" s="50">
        <f t="shared" si="6"/>
        <v>0</v>
      </c>
    </row>
    <row r="53" spans="1:12" ht="15.6" x14ac:dyDescent="0.25">
      <c r="A53" s="24" t="s">
        <v>156</v>
      </c>
    </row>
    <row r="54" spans="1:12" ht="13.8" thickBot="1" x14ac:dyDescent="0.3">
      <c r="A54" s="47" t="s">
        <v>200</v>
      </c>
    </row>
    <row r="55" spans="1:12" ht="45" customHeight="1" thickBot="1" x14ac:dyDescent="0.3">
      <c r="A55" s="41" t="s">
        <v>74</v>
      </c>
      <c r="B55" s="41" t="s">
        <v>157</v>
      </c>
      <c r="C55" s="44"/>
      <c r="D55" s="43" t="s">
        <v>158</v>
      </c>
      <c r="E55" s="41" t="s">
        <v>159</v>
      </c>
      <c r="F55" s="43" t="s">
        <v>208</v>
      </c>
      <c r="G55" s="44" t="s">
        <v>207</v>
      </c>
    </row>
    <row r="56" spans="1:12" ht="13.8" thickBot="1" x14ac:dyDescent="0.3">
      <c r="A56" s="21" t="s">
        <v>160</v>
      </c>
      <c r="B56" s="8" t="s">
        <v>75</v>
      </c>
      <c r="C56" s="46"/>
      <c r="D56" s="11" t="s">
        <v>161</v>
      </c>
      <c r="E56" s="10" t="s">
        <v>162</v>
      </c>
      <c r="F56" s="11">
        <v>22</v>
      </c>
      <c r="G56" s="8" t="s">
        <v>163</v>
      </c>
      <c r="H56" s="48">
        <v>1</v>
      </c>
      <c r="I56" s="48">
        <v>1</v>
      </c>
      <c r="J56" s="49">
        <f>H56*C56</f>
        <v>0</v>
      </c>
      <c r="K56" s="52" t="s">
        <v>11</v>
      </c>
      <c r="L56" s="50">
        <f>I56*C56</f>
        <v>0</v>
      </c>
    </row>
    <row r="57" spans="1:12" ht="13.8" thickBot="1" x14ac:dyDescent="0.3">
      <c r="A57" s="21" t="s">
        <v>164</v>
      </c>
      <c r="B57" s="8" t="s">
        <v>75</v>
      </c>
      <c r="C57" s="46"/>
      <c r="D57" s="11" t="s">
        <v>165</v>
      </c>
      <c r="E57" s="10" t="s">
        <v>162</v>
      </c>
      <c r="F57" s="11">
        <v>30</v>
      </c>
      <c r="G57" s="8" t="s">
        <v>166</v>
      </c>
      <c r="H57" s="48">
        <v>1.38</v>
      </c>
      <c r="I57" s="48">
        <v>1.38</v>
      </c>
      <c r="J57" s="49">
        <f>H57*C57</f>
        <v>0</v>
      </c>
      <c r="K57" s="52" t="s">
        <v>11</v>
      </c>
      <c r="L57" s="50">
        <f>I57*C57</f>
        <v>0</v>
      </c>
    </row>
    <row r="58" spans="1:12" ht="13.8" thickBot="1" x14ac:dyDescent="0.3">
      <c r="A58" s="47" t="s">
        <v>199</v>
      </c>
    </row>
    <row r="59" spans="1:12" ht="40.200000000000003" thickBot="1" x14ac:dyDescent="0.3">
      <c r="A59" s="41" t="s">
        <v>74</v>
      </c>
      <c r="B59" s="41" t="s">
        <v>167</v>
      </c>
      <c r="C59" s="41"/>
      <c r="D59" s="42" t="s">
        <v>204</v>
      </c>
      <c r="E59" s="41" t="s">
        <v>168</v>
      </c>
      <c r="F59" s="42" t="s">
        <v>205</v>
      </c>
      <c r="G59" s="41" t="s">
        <v>206</v>
      </c>
    </row>
    <row r="60" spans="1:12" ht="13.8" thickBot="1" x14ac:dyDescent="0.3">
      <c r="A60" s="21" t="s">
        <v>169</v>
      </c>
      <c r="B60" s="8" t="s">
        <v>75</v>
      </c>
      <c r="C60" s="46">
        <v>100</v>
      </c>
      <c r="D60" s="11" t="s">
        <v>170</v>
      </c>
      <c r="E60" s="8" t="s">
        <v>162</v>
      </c>
      <c r="F60" s="11" t="s">
        <v>171</v>
      </c>
      <c r="G60" s="8" t="s">
        <v>172</v>
      </c>
      <c r="H60" s="48">
        <v>0.05</v>
      </c>
      <c r="I60" s="48">
        <v>0.05</v>
      </c>
      <c r="J60" s="49">
        <f>H60*C60</f>
        <v>5</v>
      </c>
      <c r="K60" s="52" t="s">
        <v>11</v>
      </c>
      <c r="L60" s="50">
        <f>I60*C60</f>
        <v>5</v>
      </c>
    </row>
    <row r="61" spans="1:12" ht="13.8" thickBot="1" x14ac:dyDescent="0.3">
      <c r="A61" s="21" t="s">
        <v>173</v>
      </c>
      <c r="B61" s="8" t="s">
        <v>75</v>
      </c>
      <c r="C61" s="46"/>
      <c r="D61" s="11" t="s">
        <v>174</v>
      </c>
      <c r="E61" s="8" t="s">
        <v>162</v>
      </c>
      <c r="F61" s="11" t="s">
        <v>175</v>
      </c>
      <c r="G61" s="8" t="s">
        <v>176</v>
      </c>
      <c r="H61" s="48">
        <v>8.3000000000000004E-2</v>
      </c>
      <c r="I61" s="48">
        <v>8.3000000000000004E-2</v>
      </c>
      <c r="J61" s="49">
        <f>H61*C61</f>
        <v>0</v>
      </c>
      <c r="K61" s="52" t="s">
        <v>11</v>
      </c>
      <c r="L61" s="50">
        <f>I61*C61</f>
        <v>0</v>
      </c>
    </row>
    <row r="62" spans="1:12" ht="13.8" thickBot="1" x14ac:dyDescent="0.3">
      <c r="A62" s="21" t="s">
        <v>177</v>
      </c>
      <c r="B62" s="8" t="s">
        <v>75</v>
      </c>
      <c r="C62" s="46">
        <v>100</v>
      </c>
      <c r="D62" s="11" t="s">
        <v>178</v>
      </c>
      <c r="E62" s="8" t="s">
        <v>162</v>
      </c>
      <c r="F62" s="11" t="s">
        <v>179</v>
      </c>
      <c r="G62" s="8" t="s">
        <v>180</v>
      </c>
      <c r="H62" s="48">
        <v>9.2999999999999999E-2</v>
      </c>
      <c r="I62" s="48">
        <v>9.2999999999999999E-2</v>
      </c>
      <c r="J62" s="49">
        <f>H62*C62</f>
        <v>9.3000000000000007</v>
      </c>
      <c r="K62" s="52" t="s">
        <v>11</v>
      </c>
      <c r="L62" s="50">
        <f>I62*C62</f>
        <v>9.3000000000000007</v>
      </c>
    </row>
    <row r="63" spans="1:12" ht="13.8" thickBot="1" x14ac:dyDescent="0.3">
      <c r="A63" s="21" t="s">
        <v>181</v>
      </c>
      <c r="B63" s="8" t="s">
        <v>75</v>
      </c>
      <c r="C63" s="46">
        <v>100</v>
      </c>
      <c r="D63" s="11" t="s">
        <v>174</v>
      </c>
      <c r="E63" s="8" t="s">
        <v>162</v>
      </c>
      <c r="F63" s="11">
        <v>4</v>
      </c>
      <c r="G63" s="8" t="s">
        <v>182</v>
      </c>
      <c r="H63" s="48">
        <v>0.13300000000000001</v>
      </c>
      <c r="I63" s="48">
        <v>0.13300000000000001</v>
      </c>
      <c r="J63" s="49">
        <f>H63*C63</f>
        <v>13.3</v>
      </c>
      <c r="K63" s="52" t="s">
        <v>11</v>
      </c>
      <c r="L63" s="50">
        <f>I63*C63</f>
        <v>13.3</v>
      </c>
    </row>
    <row r="64" spans="1:12" ht="13.8" thickBot="1" x14ac:dyDescent="0.3">
      <c r="A64" s="47" t="s">
        <v>292</v>
      </c>
      <c r="B64" s="33"/>
      <c r="C64" s="99"/>
      <c r="D64" s="35"/>
      <c r="E64" s="33"/>
      <c r="F64" s="35"/>
      <c r="G64" s="33"/>
      <c r="J64" s="38"/>
      <c r="K64" s="39"/>
      <c r="L64" s="73"/>
    </row>
    <row r="65" spans="1:13" ht="40.200000000000003" thickBot="1" x14ac:dyDescent="0.3">
      <c r="A65" s="41" t="s">
        <v>74</v>
      </c>
      <c r="B65" s="41" t="s">
        <v>167</v>
      </c>
      <c r="C65" s="41"/>
      <c r="D65" s="42" t="s">
        <v>204</v>
      </c>
      <c r="E65" s="41" t="s">
        <v>168</v>
      </c>
      <c r="F65" s="42" t="s">
        <v>205</v>
      </c>
      <c r="G65" s="41" t="s">
        <v>206</v>
      </c>
    </row>
    <row r="66" spans="1:13" ht="13.8" thickBot="1" x14ac:dyDescent="0.3">
      <c r="A66" s="21" t="s">
        <v>293</v>
      </c>
      <c r="B66" s="8" t="s">
        <v>75</v>
      </c>
      <c r="C66" s="46">
        <v>100</v>
      </c>
      <c r="D66" s="11" t="s">
        <v>294</v>
      </c>
      <c r="E66" s="8" t="s">
        <v>162</v>
      </c>
      <c r="F66" s="11" t="s">
        <v>295</v>
      </c>
      <c r="G66" s="8" t="s">
        <v>296</v>
      </c>
      <c r="H66" s="48">
        <v>1.0999999999999999E-2</v>
      </c>
      <c r="I66" s="48">
        <v>1.0999999999999999E-2</v>
      </c>
      <c r="J66" s="49">
        <f>H66*C66</f>
        <v>1.0999999999999999</v>
      </c>
      <c r="K66" s="52" t="s">
        <v>11</v>
      </c>
      <c r="L66" s="50">
        <f>I66*C66</f>
        <v>1.0999999999999999</v>
      </c>
    </row>
    <row r="67" spans="1:13" ht="13.8" thickBot="1" x14ac:dyDescent="0.3"/>
    <row r="68" spans="1:13" ht="13.8" thickBot="1" x14ac:dyDescent="0.3">
      <c r="F68" s="63" t="s">
        <v>209</v>
      </c>
      <c r="G68" s="64" t="s">
        <v>210</v>
      </c>
      <c r="H68" s="65"/>
      <c r="I68" s="65"/>
      <c r="J68" s="49">
        <f>J3+J5+J6+J7+J8+J9+J11+J12+J13+J15+J16+J19+J21+J23+J25+J28+J29+J30+J32+J34+J35+J37+J38+J42+J43+J44+J45+J46+J47+J48+J49+J50+J51+J52+J56+J57+J60+J61+J62+J63+J66</f>
        <v>28.700000000000003</v>
      </c>
      <c r="K68" s="52" t="s">
        <v>11</v>
      </c>
      <c r="L68" s="50">
        <f>L3+L5+L6+L7+L8+L9+L11+L12+L13+L15+L16+L19+L21+L23+L25+L28+L29+L30+L32+L34+L35+L37+L38+L42+L43+L44+L45+L46+L47+L48+L49+L50+L51+L52+L56+L57+L60+L61+L62+L63+L66</f>
        <v>28.700000000000003</v>
      </c>
    </row>
    <row r="69" spans="1:13" ht="13.8" thickBot="1" x14ac:dyDescent="0.3">
      <c r="F69" s="66"/>
      <c r="G69" s="67" t="s">
        <v>211</v>
      </c>
      <c r="H69" s="68"/>
      <c r="I69" s="68"/>
      <c r="J69" s="49">
        <f>J4+J10+J14+J17+J20+J22+J24+J26+J31+J33+J36+J39</f>
        <v>1.5</v>
      </c>
      <c r="K69" s="52" t="s">
        <v>11</v>
      </c>
      <c r="L69" s="50">
        <f>L4+L10+L14+L17+L20+L22+L24+L26+L31+L33+L36+L39</f>
        <v>2.5</v>
      </c>
    </row>
    <row r="70" spans="1:13" x14ac:dyDescent="0.25">
      <c r="F70" s="22" t="s">
        <v>215</v>
      </c>
      <c r="J70" s="74">
        <v>2</v>
      </c>
      <c r="L70" s="51" t="s">
        <v>216</v>
      </c>
    </row>
    <row r="71" spans="1:13" x14ac:dyDescent="0.25">
      <c r="F71" s="22" t="s">
        <v>289</v>
      </c>
      <c r="G71" s="5" t="s">
        <v>290</v>
      </c>
      <c r="J71" s="98">
        <f>J68*J70</f>
        <v>57.400000000000006</v>
      </c>
      <c r="K71" s="39" t="s">
        <v>11</v>
      </c>
      <c r="L71" s="51">
        <f>L68*J70</f>
        <v>57.400000000000006</v>
      </c>
    </row>
    <row r="72" spans="1:13" x14ac:dyDescent="0.25">
      <c r="G72" s="5" t="s">
        <v>291</v>
      </c>
      <c r="J72" s="98">
        <f>J69*J70</f>
        <v>3</v>
      </c>
      <c r="K72" s="39" t="s">
        <v>11</v>
      </c>
      <c r="L72" s="51">
        <f>L69*J70</f>
        <v>5</v>
      </c>
    </row>
    <row r="73" spans="1:13" ht="15.6" x14ac:dyDescent="0.25">
      <c r="F73" s="55" t="s">
        <v>212</v>
      </c>
      <c r="G73" s="5" t="s">
        <v>213</v>
      </c>
      <c r="J73" s="38">
        <f>INT(J68/1.8*100)/100*J70</f>
        <v>31.88</v>
      </c>
      <c r="K73" s="39" t="s">
        <v>11</v>
      </c>
      <c r="L73" s="73">
        <f>INT(L68/1.8*100)/100*J70</f>
        <v>31.88</v>
      </c>
      <c r="M73" s="38" t="s">
        <v>214</v>
      </c>
    </row>
  </sheetData>
  <mergeCells count="17">
    <mergeCell ref="A21:A22"/>
    <mergeCell ref="J1:L1"/>
    <mergeCell ref="A2:L2"/>
    <mergeCell ref="A18:J18"/>
    <mergeCell ref="A3:A4"/>
    <mergeCell ref="A5:A7"/>
    <mergeCell ref="A8:A11"/>
    <mergeCell ref="A25:A26"/>
    <mergeCell ref="A51:A52"/>
    <mergeCell ref="B13:B14"/>
    <mergeCell ref="D13:D14"/>
    <mergeCell ref="A37:A39"/>
    <mergeCell ref="A34:A36"/>
    <mergeCell ref="A32:A33"/>
    <mergeCell ref="A29:A31"/>
    <mergeCell ref="A12:A17"/>
    <mergeCell ref="A19:A20"/>
  </mergeCells>
  <phoneticPr fontId="7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2"/>
  <dimension ref="A1:J63"/>
  <sheetViews>
    <sheetView topLeftCell="B43" zoomScale="150" workbookViewId="0">
      <selection activeCell="J5" sqref="J5"/>
    </sheetView>
  </sheetViews>
  <sheetFormatPr defaultRowHeight="13.2" x14ac:dyDescent="0.25"/>
  <cols>
    <col min="1" max="1" width="32" customWidth="1"/>
    <col min="2" max="2" width="15.6640625" style="81" customWidth="1"/>
    <col min="3" max="3" width="16.109375" customWidth="1"/>
    <col min="4" max="4" width="14.109375" customWidth="1"/>
    <col min="5" max="5" width="15.6640625" customWidth="1"/>
  </cols>
  <sheetData>
    <row r="1" spans="1:6" ht="76.5" customHeight="1" thickBot="1" x14ac:dyDescent="0.3">
      <c r="A1" s="123" t="s">
        <v>217</v>
      </c>
      <c r="B1" s="117" t="s">
        <v>194</v>
      </c>
      <c r="C1" s="122" t="s">
        <v>218</v>
      </c>
      <c r="D1" s="121"/>
      <c r="E1" s="122" t="s">
        <v>219</v>
      </c>
      <c r="F1" s="121"/>
    </row>
    <row r="2" spans="1:6" ht="13.8" thickBot="1" x14ac:dyDescent="0.3">
      <c r="A2" s="124"/>
      <c r="B2" s="118"/>
      <c r="C2" s="75" t="s">
        <v>220</v>
      </c>
      <c r="D2" s="75" t="s">
        <v>221</v>
      </c>
      <c r="E2" s="75" t="s">
        <v>220</v>
      </c>
      <c r="F2" s="75" t="s">
        <v>221</v>
      </c>
    </row>
    <row r="3" spans="1:6" ht="16.2" thickBot="1" x14ac:dyDescent="0.4">
      <c r="A3" s="125"/>
      <c r="B3" s="119"/>
      <c r="C3" s="76" t="s">
        <v>222</v>
      </c>
      <c r="D3" s="76" t="s">
        <v>223</v>
      </c>
      <c r="E3" s="76" t="s">
        <v>224</v>
      </c>
      <c r="F3" s="76" t="s">
        <v>225</v>
      </c>
    </row>
    <row r="4" spans="1:6" ht="27" thickBot="1" x14ac:dyDescent="0.3">
      <c r="A4" s="77" t="s">
        <v>226</v>
      </c>
      <c r="B4" s="80">
        <v>1</v>
      </c>
      <c r="C4" s="76">
        <f>64.77*B4</f>
        <v>64.77</v>
      </c>
      <c r="D4" s="76">
        <f>B4*72.07</f>
        <v>72.069999999999993</v>
      </c>
      <c r="E4" s="76">
        <f>B4*45.9</f>
        <v>45.9</v>
      </c>
      <c r="F4" s="76">
        <f>B4*51.07</f>
        <v>51.07</v>
      </c>
    </row>
    <row r="5" spans="1:6" ht="27" thickBot="1" x14ac:dyDescent="0.3">
      <c r="A5" s="78" t="s">
        <v>227</v>
      </c>
      <c r="B5" s="80">
        <v>43</v>
      </c>
      <c r="C5" s="75">
        <f>B5*54.49</f>
        <v>2343.0700000000002</v>
      </c>
      <c r="D5" s="75">
        <f>B5*60.64</f>
        <v>2607.52</v>
      </c>
      <c r="E5" s="75">
        <f>B5*40</f>
        <v>1720</v>
      </c>
      <c r="F5" s="75">
        <f>B5*44.36</f>
        <v>1907.48</v>
      </c>
    </row>
    <row r="6" spans="1:6" ht="27" thickBot="1" x14ac:dyDescent="0.3">
      <c r="A6" s="77" t="s">
        <v>228</v>
      </c>
      <c r="B6" s="80">
        <v>1</v>
      </c>
      <c r="C6" s="76">
        <f>B6*48.27</f>
        <v>48.27</v>
      </c>
      <c r="D6" s="76">
        <f>B6*53.8</f>
        <v>53.8</v>
      </c>
      <c r="E6" s="76">
        <f>B6*36.42</f>
        <v>36.42</v>
      </c>
      <c r="F6" s="76">
        <f>B6*40.59</f>
        <v>40.590000000000003</v>
      </c>
    </row>
    <row r="7" spans="1:6" ht="13.8" thickBot="1" x14ac:dyDescent="0.3">
      <c r="A7" s="77" t="s">
        <v>229</v>
      </c>
      <c r="B7" s="80">
        <v>1</v>
      </c>
      <c r="C7" s="76">
        <f>B7*44.5</f>
        <v>44.5</v>
      </c>
      <c r="D7" s="76">
        <f>B7*49.54</f>
        <v>49.54</v>
      </c>
      <c r="E7" s="76">
        <f>B7*33.66</f>
        <v>33.659999999999997</v>
      </c>
      <c r="F7" s="76">
        <f>B7*37.48</f>
        <v>37.479999999999997</v>
      </c>
    </row>
    <row r="8" spans="1:6" ht="13.8" thickBot="1" x14ac:dyDescent="0.3">
      <c r="A8" s="77" t="s">
        <v>230</v>
      </c>
      <c r="B8" s="80">
        <v>1</v>
      </c>
      <c r="C8" s="76">
        <f>B8*41.84</f>
        <v>41.84</v>
      </c>
      <c r="D8" s="76">
        <f>B8*46.55</f>
        <v>46.55</v>
      </c>
      <c r="E8" s="76">
        <f>B8*29.83</f>
        <v>29.83</v>
      </c>
      <c r="F8" s="76">
        <f>B8*33.19</f>
        <v>33.19</v>
      </c>
    </row>
    <row r="9" spans="1:6" ht="13.8" thickBot="1" x14ac:dyDescent="0.3">
      <c r="A9" s="77" t="s">
        <v>231</v>
      </c>
      <c r="B9" s="80">
        <v>1</v>
      </c>
      <c r="C9" s="76">
        <f>B9*44.4</f>
        <v>44.4</v>
      </c>
      <c r="D9" s="76">
        <f>B9*49.48</f>
        <v>49.48</v>
      </c>
      <c r="E9" s="76">
        <f>B9*31.62</f>
        <v>31.62</v>
      </c>
      <c r="F9" s="76">
        <f>B9*35.24</f>
        <v>35.24</v>
      </c>
    </row>
    <row r="10" spans="1:6" ht="13.8" thickBot="1" x14ac:dyDescent="0.3">
      <c r="A10" s="77" t="s">
        <v>232</v>
      </c>
      <c r="B10" s="80">
        <v>1</v>
      </c>
      <c r="C10" s="76">
        <f>B10*41.96</f>
        <v>41.96</v>
      </c>
      <c r="D10" s="76">
        <f>B10*45.83</f>
        <v>45.83</v>
      </c>
      <c r="E10" s="76">
        <f>B10*29.92</f>
        <v>29.92</v>
      </c>
      <c r="F10" s="76">
        <f>B10*32.67</f>
        <v>32.67</v>
      </c>
    </row>
    <row r="11" spans="1:6" ht="13.8" thickBot="1" x14ac:dyDescent="0.3">
      <c r="A11" s="77" t="s">
        <v>233</v>
      </c>
      <c r="B11" s="80">
        <v>1</v>
      </c>
      <c r="C11" s="76">
        <f>B11*25.15</f>
        <v>25.15</v>
      </c>
      <c r="D11" s="76">
        <f>B11*20.2</f>
        <v>20.2</v>
      </c>
      <c r="E11" s="76">
        <f>B11*18.14</f>
        <v>18.14</v>
      </c>
      <c r="F11" s="76">
        <f>B11*14.57</f>
        <v>14.57</v>
      </c>
    </row>
    <row r="12" spans="1:6" ht="27" thickBot="1" x14ac:dyDescent="0.3">
      <c r="A12" s="77" t="s">
        <v>234</v>
      </c>
      <c r="B12" s="80">
        <v>1</v>
      </c>
      <c r="C12" s="76">
        <f>B12*27.09</f>
        <v>27.09</v>
      </c>
      <c r="D12" s="76">
        <f>B12*30.13</f>
        <v>30.13</v>
      </c>
      <c r="E12" s="76">
        <f>B12*23.47</f>
        <v>23.47</v>
      </c>
      <c r="F12" s="76">
        <f>B12*26.1</f>
        <v>26.1</v>
      </c>
    </row>
    <row r="13" spans="1:6" ht="27" thickBot="1" x14ac:dyDescent="0.3">
      <c r="A13" s="77" t="s">
        <v>235</v>
      </c>
      <c r="B13" s="80">
        <v>1</v>
      </c>
      <c r="C13" s="76">
        <f>B13*27.35</f>
        <v>27.35</v>
      </c>
      <c r="D13" s="76">
        <f>B13*30.4</f>
        <v>30.4</v>
      </c>
      <c r="E13" s="76">
        <f>B13*23.07</f>
        <v>23.07</v>
      </c>
      <c r="F13" s="76">
        <f>B13*25.35</f>
        <v>25.35</v>
      </c>
    </row>
    <row r="14" spans="1:6" ht="27" thickBot="1" x14ac:dyDescent="0.3">
      <c r="A14" s="77" t="s">
        <v>236</v>
      </c>
      <c r="B14" s="80">
        <v>1</v>
      </c>
      <c r="C14" s="76">
        <f>B14*27.48</f>
        <v>27.48</v>
      </c>
      <c r="D14" s="76">
        <f>B14*30.57</f>
        <v>30.57</v>
      </c>
      <c r="E14" s="76">
        <f>B14*22.62</f>
        <v>22.62</v>
      </c>
      <c r="F14" s="76">
        <f>B14*25.15</f>
        <v>25.15</v>
      </c>
    </row>
    <row r="15" spans="1:6" ht="40.200000000000003" thickBot="1" x14ac:dyDescent="0.3">
      <c r="A15" s="77" t="s">
        <v>237</v>
      </c>
      <c r="B15" s="80">
        <v>1</v>
      </c>
      <c r="C15" s="76"/>
      <c r="D15" s="76"/>
      <c r="E15" s="76"/>
      <c r="F15" s="76"/>
    </row>
    <row r="16" spans="1:6" ht="13.8" thickBot="1" x14ac:dyDescent="0.3">
      <c r="A16" s="79" t="s">
        <v>238</v>
      </c>
      <c r="B16" s="80">
        <v>1</v>
      </c>
      <c r="C16" s="76">
        <f>2.29*B16</f>
        <v>2.29</v>
      </c>
      <c r="D16" s="76">
        <f>B16*2.54</f>
        <v>2.54</v>
      </c>
      <c r="E16" s="76">
        <f>B16*1.84</f>
        <v>1.84</v>
      </c>
      <c r="F16" s="76">
        <f>B16*2.04</f>
        <v>2.04</v>
      </c>
    </row>
    <row r="17" spans="1:6" ht="40.200000000000003" thickBot="1" x14ac:dyDescent="0.3">
      <c r="A17" s="79" t="s">
        <v>239</v>
      </c>
      <c r="B17" s="80">
        <v>1</v>
      </c>
      <c r="C17" s="76">
        <f>1.58*B17</f>
        <v>1.58</v>
      </c>
      <c r="D17" s="76">
        <f>B17*1.75</f>
        <v>1.75</v>
      </c>
      <c r="E17" s="76">
        <f>B17*1.34</f>
        <v>1.34</v>
      </c>
      <c r="F17" s="76">
        <f>B17*1.49</f>
        <v>1.49</v>
      </c>
    </row>
    <row r="18" spans="1:6" ht="27" thickBot="1" x14ac:dyDescent="0.3">
      <c r="A18" s="79" t="s">
        <v>240</v>
      </c>
      <c r="B18" s="80">
        <v>1</v>
      </c>
      <c r="C18" s="76">
        <f>B18*1.61</f>
        <v>1.61</v>
      </c>
      <c r="D18" s="76">
        <f>B18*1.8</f>
        <v>1.8</v>
      </c>
      <c r="E18" s="76">
        <f>B18*1.33</f>
        <v>1.33</v>
      </c>
      <c r="F18" s="76">
        <f>B18*1.48</f>
        <v>1.48</v>
      </c>
    </row>
    <row r="19" spans="1:6" ht="27" thickBot="1" x14ac:dyDescent="0.3">
      <c r="A19" s="79" t="s">
        <v>241</v>
      </c>
      <c r="B19" s="80">
        <v>1</v>
      </c>
      <c r="C19" s="76">
        <f>B19*1.64</f>
        <v>1.64</v>
      </c>
      <c r="D19" s="76">
        <f>B19*1.82</f>
        <v>1.82</v>
      </c>
      <c r="E19" s="76">
        <f>B19*1.31</f>
        <v>1.31</v>
      </c>
      <c r="F19" s="76">
        <f>B19*1.46</f>
        <v>1.46</v>
      </c>
    </row>
    <row r="20" spans="1:6" ht="40.200000000000003" thickBot="1" x14ac:dyDescent="0.3">
      <c r="A20" s="79" t="s">
        <v>242</v>
      </c>
      <c r="B20" s="80">
        <v>1</v>
      </c>
      <c r="C20" s="76">
        <f>B20*3.78</f>
        <v>3.78</v>
      </c>
      <c r="D20" s="76">
        <f>B20*4.21</f>
        <v>4.21</v>
      </c>
      <c r="E20" s="76">
        <f>B20*3.21</f>
        <v>3.21</v>
      </c>
      <c r="F20" s="76">
        <f>B20*3.57</f>
        <v>3.57</v>
      </c>
    </row>
    <row r="21" spans="1:6" ht="40.200000000000003" thickBot="1" x14ac:dyDescent="0.3">
      <c r="A21" s="79" t="s">
        <v>243</v>
      </c>
      <c r="B21" s="80">
        <v>1</v>
      </c>
      <c r="C21" s="76">
        <f>B21*3.86</f>
        <v>3.86</v>
      </c>
      <c r="D21" s="76">
        <f>B21*4.31</f>
        <v>4.3099999999999996</v>
      </c>
      <c r="E21" s="76">
        <f>B21*3.18</f>
        <v>3.18</v>
      </c>
      <c r="F21" s="76">
        <f>B21*3.56</f>
        <v>3.56</v>
      </c>
    </row>
    <row r="22" spans="1:6" ht="40.200000000000003" thickBot="1" x14ac:dyDescent="0.3">
      <c r="A22" s="79" t="s">
        <v>244</v>
      </c>
      <c r="B22" s="80">
        <v>1</v>
      </c>
      <c r="C22" s="76">
        <f>B22*3.93</f>
        <v>3.93</v>
      </c>
      <c r="D22" s="76">
        <f>B22*4.36</f>
        <v>4.3600000000000003</v>
      </c>
      <c r="E22" s="76">
        <f>B22*3.15</f>
        <v>3.15</v>
      </c>
      <c r="F22" s="76">
        <f>B22*3.5</f>
        <v>3.5</v>
      </c>
    </row>
    <row r="23" spans="1:6" ht="27" thickBot="1" x14ac:dyDescent="0.3">
      <c r="A23" s="77" t="s">
        <v>245</v>
      </c>
      <c r="B23" s="80">
        <v>1</v>
      </c>
      <c r="C23" s="76"/>
      <c r="D23" s="76"/>
      <c r="E23" s="76"/>
      <c r="F23" s="76"/>
    </row>
    <row r="24" spans="1:6" ht="27" thickBot="1" x14ac:dyDescent="0.3">
      <c r="A24" s="79" t="s">
        <v>246</v>
      </c>
      <c r="B24" s="80">
        <v>1</v>
      </c>
      <c r="C24" s="76">
        <f>B24*7.65</f>
        <v>7.65</v>
      </c>
      <c r="D24" s="76">
        <f>B24*8.5</f>
        <v>8.5</v>
      </c>
      <c r="E24" s="76">
        <f>B24*6.39</f>
        <v>6.39</v>
      </c>
      <c r="F24" s="76">
        <f>B24*7.1</f>
        <v>7.1</v>
      </c>
    </row>
    <row r="25" spans="1:6" ht="27" thickBot="1" x14ac:dyDescent="0.3">
      <c r="A25" s="79" t="s">
        <v>247</v>
      </c>
      <c r="B25" s="80">
        <v>1</v>
      </c>
      <c r="C25" s="76">
        <f>B25*7.05</f>
        <v>7.05</v>
      </c>
      <c r="D25" s="76">
        <f>B25*7.87</f>
        <v>7.87</v>
      </c>
      <c r="E25" s="76">
        <f>B25*5.85</f>
        <v>5.85</v>
      </c>
      <c r="F25" s="76">
        <f>B25*6.53</f>
        <v>6.53</v>
      </c>
    </row>
    <row r="26" spans="1:6" ht="13.8" thickBot="1" x14ac:dyDescent="0.3">
      <c r="A26" s="77" t="s">
        <v>248</v>
      </c>
      <c r="B26" s="80">
        <v>1</v>
      </c>
      <c r="C26" s="76">
        <f>B26*13.96</f>
        <v>13.96</v>
      </c>
      <c r="D26" s="76"/>
      <c r="E26" s="76">
        <f>B26*13.96</f>
        <v>13.96</v>
      </c>
      <c r="F26" s="76"/>
    </row>
    <row r="27" spans="1:6" ht="13.8" thickBot="1" x14ac:dyDescent="0.3">
      <c r="A27" s="77" t="s">
        <v>249</v>
      </c>
      <c r="B27" s="80">
        <v>1</v>
      </c>
      <c r="C27" s="76">
        <f>B27*15.88</f>
        <v>15.88</v>
      </c>
      <c r="D27" s="76"/>
      <c r="E27" s="76">
        <f>B27*15.88</f>
        <v>15.88</v>
      </c>
      <c r="F27" s="76"/>
    </row>
    <row r="28" spans="1:6" ht="13.8" thickBot="1" x14ac:dyDescent="0.3">
      <c r="A28" s="77" t="s">
        <v>250</v>
      </c>
      <c r="B28" s="80">
        <v>1</v>
      </c>
      <c r="C28" s="76">
        <f>B28*46.54</f>
        <v>46.54</v>
      </c>
      <c r="D28" s="76"/>
      <c r="E28" s="76">
        <f>B28*46.54</f>
        <v>46.54</v>
      </c>
      <c r="F28" s="76"/>
    </row>
    <row r="29" spans="1:6" ht="27" thickBot="1" x14ac:dyDescent="0.3">
      <c r="A29" s="77" t="s">
        <v>251</v>
      </c>
      <c r="B29" s="80">
        <v>1</v>
      </c>
      <c r="C29" s="76">
        <f>B29*0.03</f>
        <v>0.03</v>
      </c>
      <c r="D29" s="76"/>
      <c r="E29" s="76">
        <f>B29*0.03</f>
        <v>0.03</v>
      </c>
      <c r="F29" s="76"/>
    </row>
    <row r="30" spans="1:6" ht="27" thickBot="1" x14ac:dyDescent="0.3">
      <c r="A30" s="77" t="s">
        <v>252</v>
      </c>
      <c r="B30" s="80">
        <v>1</v>
      </c>
      <c r="C30" s="76">
        <f>B30*0.05</f>
        <v>0.05</v>
      </c>
      <c r="D30" s="76"/>
      <c r="E30" s="76">
        <f>B30*0.05</f>
        <v>0.05</v>
      </c>
      <c r="F30" s="76"/>
    </row>
    <row r="31" spans="1:6" ht="27" thickBot="1" x14ac:dyDescent="0.3">
      <c r="A31" s="77" t="s">
        <v>253</v>
      </c>
      <c r="B31" s="80">
        <v>1</v>
      </c>
      <c r="C31" s="76">
        <f>B31*0.32</f>
        <v>0.32</v>
      </c>
      <c r="D31" s="76"/>
      <c r="E31" s="76">
        <f>B31*0.32</f>
        <v>0.32</v>
      </c>
      <c r="F31" s="76"/>
    </row>
    <row r="32" spans="1:6" ht="27" thickBot="1" x14ac:dyDescent="0.3">
      <c r="A32" s="77" t="s">
        <v>254</v>
      </c>
      <c r="B32" s="80">
        <v>1</v>
      </c>
      <c r="C32" s="76">
        <f>B32*0.3</f>
        <v>0.3</v>
      </c>
      <c r="D32" s="76"/>
      <c r="E32" s="76">
        <f>B32*0.3</f>
        <v>0.3</v>
      </c>
      <c r="F32" s="76"/>
    </row>
    <row r="33" spans="1:10" ht="27" thickBot="1" x14ac:dyDescent="0.3">
      <c r="A33" s="77" t="s">
        <v>255</v>
      </c>
      <c r="B33" s="80">
        <v>1</v>
      </c>
      <c r="C33" s="76">
        <f>B33*0.38</f>
        <v>0.38</v>
      </c>
      <c r="D33" s="76"/>
      <c r="E33" s="76">
        <f>B33*0.38</f>
        <v>0.38</v>
      </c>
      <c r="F33" s="76"/>
    </row>
    <row r="34" spans="1:10" ht="27" thickBot="1" x14ac:dyDescent="0.3">
      <c r="A34" s="77" t="s">
        <v>256</v>
      </c>
      <c r="B34" s="80">
        <v>1</v>
      </c>
      <c r="C34" s="76">
        <f>B34*0.24</f>
        <v>0.24</v>
      </c>
      <c r="D34" s="76"/>
      <c r="E34" s="76">
        <f>B34*0.24</f>
        <v>0.24</v>
      </c>
      <c r="F34" s="76"/>
    </row>
    <row r="35" spans="1:10" ht="13.8" thickBot="1" x14ac:dyDescent="0.3">
      <c r="A35" s="77" t="s">
        <v>257</v>
      </c>
      <c r="B35" s="80">
        <v>1</v>
      </c>
      <c r="C35" s="76">
        <f>B35*0.57</f>
        <v>0.56999999999999995</v>
      </c>
      <c r="D35" s="76"/>
      <c r="E35" s="76">
        <f>B35*0.57</f>
        <v>0.56999999999999995</v>
      </c>
      <c r="F35" s="76"/>
    </row>
    <row r="36" spans="1:10" ht="13.8" thickBot="1" x14ac:dyDescent="0.3">
      <c r="A36" s="77" t="s">
        <v>258</v>
      </c>
      <c r="B36" s="80">
        <v>1</v>
      </c>
      <c r="C36" s="76">
        <f>B36*0.49</f>
        <v>0.49</v>
      </c>
      <c r="D36" s="76"/>
      <c r="E36" s="76">
        <f>B36*0.49</f>
        <v>0.49</v>
      </c>
      <c r="F36" s="76"/>
    </row>
    <row r="37" spans="1:10" ht="13.8" thickBot="1" x14ac:dyDescent="0.3">
      <c r="A37" s="77" t="s">
        <v>259</v>
      </c>
      <c r="B37" s="80">
        <v>1</v>
      </c>
      <c r="C37" s="76">
        <f>B37*0.81</f>
        <v>0.81</v>
      </c>
      <c r="D37" s="76"/>
      <c r="E37" s="76">
        <f>B37*0.81</f>
        <v>0.81</v>
      </c>
      <c r="F37" s="76"/>
    </row>
    <row r="38" spans="1:10" ht="13.8" thickBot="1" x14ac:dyDescent="0.3"/>
    <row r="39" spans="1:10" ht="76.5" customHeight="1" thickBot="1" x14ac:dyDescent="0.3">
      <c r="A39" s="116"/>
      <c r="B39" s="117"/>
      <c r="C39" s="120" t="s">
        <v>218</v>
      </c>
      <c r="D39" s="121"/>
      <c r="E39" s="122" t="s">
        <v>219</v>
      </c>
      <c r="F39" s="121"/>
    </row>
    <row r="40" spans="1:10" ht="13.8" thickBot="1" x14ac:dyDescent="0.3">
      <c r="A40" s="116"/>
      <c r="B40" s="118"/>
      <c r="C40" s="75" t="s">
        <v>220</v>
      </c>
      <c r="D40" s="75" t="s">
        <v>221</v>
      </c>
      <c r="E40" s="75" t="s">
        <v>220</v>
      </c>
      <c r="F40" s="75" t="s">
        <v>221</v>
      </c>
    </row>
    <row r="41" spans="1:10" ht="16.2" thickBot="1" x14ac:dyDescent="0.4">
      <c r="A41" s="116"/>
      <c r="B41" s="119"/>
      <c r="C41" s="76" t="s">
        <v>222</v>
      </c>
      <c r="D41" s="76" t="s">
        <v>223</v>
      </c>
      <c r="E41" s="76" t="s">
        <v>224</v>
      </c>
      <c r="F41" s="76" t="s">
        <v>225</v>
      </c>
    </row>
    <row r="42" spans="1:10" ht="13.8" thickBot="1" x14ac:dyDescent="0.3">
      <c r="B42" s="82" t="s">
        <v>209</v>
      </c>
      <c r="C42" s="83">
        <f>SUM(C4:C37)</f>
        <v>2848.8400000000015</v>
      </c>
      <c r="D42" s="83">
        <f>SUM(D4:D37)</f>
        <v>3073.2500000000009</v>
      </c>
      <c r="E42" s="83">
        <f>SUM(E4:E37)</f>
        <v>2121.8200000000006</v>
      </c>
      <c r="F42" s="83">
        <f>SUM(F4:F37)</f>
        <v>2259.62</v>
      </c>
    </row>
    <row r="43" spans="1:10" ht="13.8" thickBot="1" x14ac:dyDescent="0.3"/>
    <row r="44" spans="1:10" ht="13.8" thickBot="1" x14ac:dyDescent="0.3">
      <c r="A44" s="115" t="s">
        <v>281</v>
      </c>
      <c r="B44" s="115"/>
      <c r="C44" s="93"/>
      <c r="D44" s="93"/>
      <c r="E44" s="93">
        <v>1</v>
      </c>
      <c r="F44" s="93"/>
    </row>
    <row r="45" spans="1:10" ht="13.8" thickBot="1" x14ac:dyDescent="0.3">
      <c r="A45" t="s">
        <v>284</v>
      </c>
    </row>
    <row r="46" spans="1:10" ht="27" thickBot="1" x14ac:dyDescent="0.3">
      <c r="A46" s="94" t="s">
        <v>275</v>
      </c>
      <c r="B46" s="85" t="s">
        <v>260</v>
      </c>
      <c r="C46" s="86" t="s">
        <v>261</v>
      </c>
      <c r="D46" s="86" t="s">
        <v>262</v>
      </c>
      <c r="E46" s="86" t="s">
        <v>263</v>
      </c>
      <c r="F46" s="87" t="s">
        <v>264</v>
      </c>
      <c r="G46" s="86" t="s">
        <v>265</v>
      </c>
      <c r="H46" s="86" t="s">
        <v>266</v>
      </c>
      <c r="I46" s="86" t="s">
        <v>267</v>
      </c>
      <c r="J46" s="86" t="s">
        <v>268</v>
      </c>
    </row>
    <row r="47" spans="1:10" x14ac:dyDescent="0.25">
      <c r="B47" s="88" t="s">
        <v>269</v>
      </c>
      <c r="C47" s="90" t="s">
        <v>269</v>
      </c>
      <c r="D47" s="90" t="s">
        <v>269</v>
      </c>
      <c r="E47" s="90" t="s">
        <v>272</v>
      </c>
      <c r="F47" s="90" t="s">
        <v>274</v>
      </c>
      <c r="G47" s="90" t="s">
        <v>274</v>
      </c>
      <c r="H47" s="90" t="s">
        <v>269</v>
      </c>
      <c r="I47" s="90" t="s">
        <v>274</v>
      </c>
      <c r="J47" s="90" t="s">
        <v>274</v>
      </c>
    </row>
    <row r="48" spans="1:10" ht="13.8" thickBot="1" x14ac:dyDescent="0.3">
      <c r="B48" s="89" t="s">
        <v>270</v>
      </c>
      <c r="C48" s="76" t="s">
        <v>271</v>
      </c>
      <c r="D48" s="76" t="s">
        <v>270</v>
      </c>
      <c r="E48" s="76" t="s">
        <v>273</v>
      </c>
      <c r="F48" s="76" t="s">
        <v>273</v>
      </c>
      <c r="G48" s="76" t="s">
        <v>273</v>
      </c>
      <c r="H48" s="76" t="s">
        <v>270</v>
      </c>
      <c r="I48" s="76" t="s">
        <v>273</v>
      </c>
      <c r="J48" s="76" t="s">
        <v>273</v>
      </c>
    </row>
    <row r="49" spans="1:10" ht="13.8" thickBot="1" x14ac:dyDescent="0.3">
      <c r="B49" s="89">
        <v>120</v>
      </c>
      <c r="C49" s="76">
        <v>130</v>
      </c>
      <c r="D49" s="76">
        <v>100</v>
      </c>
      <c r="E49" s="76">
        <v>100</v>
      </c>
      <c r="F49" s="91">
        <v>100</v>
      </c>
      <c r="G49" s="76">
        <v>140</v>
      </c>
      <c r="H49" s="76">
        <v>170</v>
      </c>
      <c r="I49" s="76">
        <v>160</v>
      </c>
      <c r="J49" s="76">
        <v>100</v>
      </c>
    </row>
    <row r="50" spans="1:10" ht="13.8" thickBot="1" x14ac:dyDescent="0.3">
      <c r="A50" s="92" t="s">
        <v>276</v>
      </c>
      <c r="B50" s="93">
        <v>5</v>
      </c>
      <c r="C50" s="93"/>
      <c r="D50" s="93">
        <v>10</v>
      </c>
      <c r="E50" s="93"/>
      <c r="F50" s="93"/>
      <c r="G50" s="93"/>
      <c r="H50" s="93"/>
      <c r="I50" s="93"/>
      <c r="J50" s="93"/>
    </row>
    <row r="51" spans="1:10" s="81" customFormat="1" ht="13.8" thickBot="1" x14ac:dyDescent="0.3">
      <c r="A51" s="95" t="s">
        <v>279</v>
      </c>
      <c r="B51" s="97">
        <f>B49*B50</f>
        <v>600</v>
      </c>
      <c r="C51" s="97">
        <f t="shared" ref="C51:J51" si="0">C49*C50</f>
        <v>0</v>
      </c>
      <c r="D51" s="96">
        <f t="shared" si="0"/>
        <v>1000</v>
      </c>
      <c r="E51" s="96">
        <f t="shared" si="0"/>
        <v>0</v>
      </c>
      <c r="F51" s="96">
        <f t="shared" si="0"/>
        <v>0</v>
      </c>
      <c r="G51" s="96">
        <f t="shared" si="0"/>
        <v>0</v>
      </c>
      <c r="H51" s="96">
        <f t="shared" si="0"/>
        <v>0</v>
      </c>
      <c r="I51" s="96">
        <f t="shared" si="0"/>
        <v>0</v>
      </c>
      <c r="J51" s="96">
        <f t="shared" si="0"/>
        <v>0</v>
      </c>
    </row>
    <row r="52" spans="1:10" ht="13.8" thickBot="1" x14ac:dyDescent="0.3"/>
    <row r="53" spans="1:10" ht="27" thickBot="1" x14ac:dyDescent="0.3">
      <c r="A53" s="94" t="s">
        <v>277</v>
      </c>
      <c r="B53" s="85" t="s">
        <v>260</v>
      </c>
      <c r="C53" s="86" t="s">
        <v>261</v>
      </c>
      <c r="D53" s="86" t="s">
        <v>262</v>
      </c>
      <c r="E53" s="86" t="s">
        <v>263</v>
      </c>
      <c r="F53" s="87" t="s">
        <v>264</v>
      </c>
      <c r="G53" s="86" t="s">
        <v>265</v>
      </c>
      <c r="H53" s="86" t="s">
        <v>266</v>
      </c>
      <c r="I53" s="86" t="s">
        <v>267</v>
      </c>
      <c r="J53" s="86" t="s">
        <v>268</v>
      </c>
    </row>
    <row r="54" spans="1:10" x14ac:dyDescent="0.25">
      <c r="B54" s="88" t="s">
        <v>269</v>
      </c>
      <c r="C54" s="90" t="s">
        <v>269</v>
      </c>
      <c r="D54" s="90" t="s">
        <v>269</v>
      </c>
      <c r="E54" s="90" t="s">
        <v>274</v>
      </c>
      <c r="F54" s="90" t="s">
        <v>274</v>
      </c>
      <c r="G54" s="90" t="s">
        <v>274</v>
      </c>
      <c r="H54" s="90" t="s">
        <v>269</v>
      </c>
      <c r="I54" s="90" t="s">
        <v>274</v>
      </c>
      <c r="J54" s="90" t="s">
        <v>274</v>
      </c>
    </row>
    <row r="55" spans="1:10" ht="13.8" thickBot="1" x14ac:dyDescent="0.3">
      <c r="B55" s="89" t="s">
        <v>270</v>
      </c>
      <c r="C55" s="76" t="s">
        <v>270</v>
      </c>
      <c r="D55" s="76" t="s">
        <v>270</v>
      </c>
      <c r="E55" s="76" t="s">
        <v>273</v>
      </c>
      <c r="F55" s="76" t="s">
        <v>273</v>
      </c>
      <c r="G55" s="76" t="s">
        <v>273</v>
      </c>
      <c r="H55" s="76" t="s">
        <v>270</v>
      </c>
      <c r="I55" s="76" t="s">
        <v>273</v>
      </c>
      <c r="J55" s="76" t="s">
        <v>273</v>
      </c>
    </row>
    <row r="56" spans="1:10" ht="13.8" thickBot="1" x14ac:dyDescent="0.3">
      <c r="B56" s="89">
        <v>90</v>
      </c>
      <c r="C56" s="76">
        <v>80</v>
      </c>
      <c r="D56" s="76">
        <v>80</v>
      </c>
      <c r="E56" s="76">
        <v>80</v>
      </c>
      <c r="F56" s="91">
        <v>80</v>
      </c>
      <c r="G56" s="76">
        <v>90</v>
      </c>
      <c r="H56" s="76">
        <v>120</v>
      </c>
      <c r="I56" s="76">
        <v>100</v>
      </c>
      <c r="J56" s="76">
        <v>80</v>
      </c>
    </row>
    <row r="57" spans="1:10" ht="13.8" thickBot="1" x14ac:dyDescent="0.3">
      <c r="A57" s="92" t="s">
        <v>276</v>
      </c>
      <c r="B57" s="93"/>
      <c r="C57" s="93"/>
      <c r="D57" s="93"/>
      <c r="E57" s="93"/>
      <c r="F57" s="93"/>
      <c r="G57" s="93">
        <v>1</v>
      </c>
      <c r="H57" s="93"/>
      <c r="I57" s="93"/>
      <c r="J57" s="93"/>
    </row>
    <row r="58" spans="1:10" s="81" customFormat="1" x14ac:dyDescent="0.25">
      <c r="A58" s="95" t="s">
        <v>279</v>
      </c>
      <c r="B58" s="96">
        <f t="shared" ref="B58:J58" si="1">B56*B57</f>
        <v>0</v>
      </c>
      <c r="C58" s="96">
        <f t="shared" si="1"/>
        <v>0</v>
      </c>
      <c r="D58" s="96">
        <f t="shared" si="1"/>
        <v>0</v>
      </c>
      <c r="E58" s="96">
        <f t="shared" si="1"/>
        <v>0</v>
      </c>
      <c r="F58" s="96">
        <f t="shared" si="1"/>
        <v>0</v>
      </c>
      <c r="G58" s="96">
        <f t="shared" si="1"/>
        <v>90</v>
      </c>
      <c r="H58" s="96">
        <f t="shared" si="1"/>
        <v>0</v>
      </c>
      <c r="I58" s="96">
        <f t="shared" si="1"/>
        <v>0</v>
      </c>
      <c r="J58" s="96">
        <f t="shared" si="1"/>
        <v>0</v>
      </c>
    </row>
    <row r="60" spans="1:10" x14ac:dyDescent="0.25">
      <c r="A60" t="s">
        <v>278</v>
      </c>
      <c r="C60" s="84">
        <f>SUM(B51:J51)+SUM(B58:J58)</f>
        <v>1690</v>
      </c>
      <c r="D60" t="s">
        <v>282</v>
      </c>
      <c r="E60" t="s">
        <v>287</v>
      </c>
      <c r="F60" s="84">
        <f>C60/40</f>
        <v>42.25</v>
      </c>
      <c r="G60" t="s">
        <v>288</v>
      </c>
    </row>
    <row r="61" spans="1:10" x14ac:dyDescent="0.25">
      <c r="A61" t="s">
        <v>280</v>
      </c>
      <c r="C61" s="84">
        <f>C42*C44+D42*D44+E42*E44+F42*F44</f>
        <v>2121.8200000000006</v>
      </c>
      <c r="D61" t="s">
        <v>283</v>
      </c>
    </row>
    <row r="62" spans="1:10" x14ac:dyDescent="0.25">
      <c r="A62" t="s">
        <v>285</v>
      </c>
      <c r="C62" s="84">
        <f>IF(C60&gt;C61,C60-C61,0)</f>
        <v>0</v>
      </c>
      <c r="D62" t="s">
        <v>283</v>
      </c>
    </row>
    <row r="63" spans="1:10" x14ac:dyDescent="0.25">
      <c r="A63" t="s">
        <v>286</v>
      </c>
      <c r="C63" s="84">
        <f>IF(C60&lt;C61,C61-C60,0)</f>
        <v>431.82000000000062</v>
      </c>
      <c r="D63" t="s">
        <v>283</v>
      </c>
    </row>
  </sheetData>
  <mergeCells count="9">
    <mergeCell ref="A44:B44"/>
    <mergeCell ref="A39:A41"/>
    <mergeCell ref="B39:B41"/>
    <mergeCell ref="C39:D39"/>
    <mergeCell ref="E39:F39"/>
    <mergeCell ref="A1:A3"/>
    <mergeCell ref="C1:D1"/>
    <mergeCell ref="E1:F1"/>
    <mergeCell ref="B1:B3"/>
  </mergeCells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3"/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ProductieGunoi</vt:lpstr>
      <vt:lpstr>PMN</vt:lpstr>
      <vt:lpstr>Sheet3</vt:lpstr>
      <vt:lpstr>ProductieGunoi!page24</vt:lpstr>
      <vt:lpstr>ProductieGunoi!page25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</dc:creator>
  <cp:lastModifiedBy>galmm_000</cp:lastModifiedBy>
  <cp:lastPrinted>2017-05-12T08:21:27Z</cp:lastPrinted>
  <dcterms:created xsi:type="dcterms:W3CDTF">2014-11-26T09:51:51Z</dcterms:created>
  <dcterms:modified xsi:type="dcterms:W3CDTF">2018-08-17T09:23:54Z</dcterms:modified>
</cp:coreProperties>
</file>